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filterPrivacy="1" defaultThemeVersion="124226"/>
  <xr:revisionPtr revIDLastSave="0" documentId="8_{615AAE1F-DF45-44B1-8FF2-7000877821EB}" xr6:coauthVersionLast="45" xr6:coauthVersionMax="45" xr10:uidLastSave="{00000000-0000-0000-0000-000000000000}"/>
  <bookViews>
    <workbookView xWindow="28680" yWindow="-120" windowWidth="29040" windowHeight="15840" xr2:uid="{00000000-000D-0000-FFFF-FFFF00000000}"/>
  </bookViews>
  <sheets>
    <sheet name="Travel Expense Summary" sheetId="9" r:id="rId1"/>
    <sheet name="Kilometer Matrix (Appendix F)" sheetId="17" r:id="rId2"/>
    <sheet name="Error List" sheetId="7" state="hidden" r:id="rId3"/>
    <sheet name="NAMED RANGES" sheetId="8" state="hidden" r:id="rId4"/>
    <sheet name="Particulars Validation" sheetId="4" state="hidden" r:id="rId5"/>
    <sheet name="Mileage Validation" sheetId="18" state="hidden" r:id="rId6"/>
    <sheet name="Meal Validation" sheetId="3" state="hidden" r:id="rId7"/>
    <sheet name="Expense Type Validation" sheetId="5" state="hidden" r:id="rId8"/>
    <sheet name="Claim Status Validation" sheetId="15" state="hidden" r:id="rId9"/>
    <sheet name="Text Summary" sheetId="11" state="hidden" r:id="rId10"/>
    <sheet name="Additions" sheetId="16" state="hidden" r:id="rId11"/>
  </sheets>
  <definedNames>
    <definedName name="_xlnm._FilterDatabase" localSheetId="1" hidden="1">'Kilometer Matrix (Appendix F)'!$A$13:$H$80</definedName>
    <definedName name="Authorization_SubmissionDate">'Travel Expense Summary'!$U$43</definedName>
    <definedName name="ClaimAllocation_Amount1">'Travel Expense Summary'!$M$42</definedName>
    <definedName name="ClaimAllocation_Amount2">'Travel Expense Summary'!$M$43</definedName>
    <definedName name="ClaimAllocation_Amount3">'Travel Expense Summary'!$M$44</definedName>
    <definedName name="ClaimAllocation_Amount4">'Travel Expense Summary'!$M$45</definedName>
    <definedName name="ClaimAllocation_AmountArray">'Travel Expense Summary'!$M$42,'Travel Expense Summary'!$M$43,'Travel Expense Summary'!$M$44,'Travel Expense Summary'!$M$45</definedName>
    <definedName name="ClaimAllocation_GL1">'Travel Expense Summary'!$J$42</definedName>
    <definedName name="ClaimAllocation_GL2">'Travel Expense Summary'!$J$43</definedName>
    <definedName name="ClaimAllocation_GL3">'Travel Expense Summary'!$J$44</definedName>
    <definedName name="ClaimAllocation_GL4">'Travel Expense Summary'!$J$45</definedName>
    <definedName name="ClaimAllocation_GLArray">'Travel Expense Summary'!$J$42:$L$45</definedName>
    <definedName name="ClaimStatus">'Travel Expense Summary'!$AE$24</definedName>
    <definedName name="DefaultMileageRate">'Particulars Validation'!$Z$4</definedName>
    <definedName name="Dropdown_AddressType">Table_AddressType[Address Type]</definedName>
    <definedName name="Dropdown_ClaimType">Table_ClaimType[Claim Type]</definedName>
    <definedName name="Dropdown_Expenses">Table_Expenses[Expense]</definedName>
    <definedName name="Dropdown_KMCentre">Table_KMCentre[Community]</definedName>
    <definedName name="Dropdown_KMCommunity">Table_KMCommunity[Community]</definedName>
    <definedName name="Dropdown_NotSelectedValue">'Particulars Validation'!$A$4</definedName>
    <definedName name="Dropdown_PayeeType">Table_PayeeType[Payee Type]</definedName>
    <definedName name="Dropdown_PaymentOptions">Table_PaymentOption[Banking Options]</definedName>
    <definedName name="Dropdown_Prefix">Table_Prefix[Prefix]</definedName>
    <definedName name="Dropdown_ProvinceAbbr">Table_Provinces[Abbr]</definedName>
    <definedName name="Dropdown_Purpose">Table_Conference[Purpose]</definedName>
    <definedName name="Dropdown_Range">Table_Range[Range]</definedName>
    <definedName name="Dropdown_ReceiptDates">OFFSET(INDEX(Table_Dates[Receipt Date Available],1,1),0,0,COUNTA(Table_Dates[Receipt Date Available])-COUNTIF(Table_Dates[Receipt Date Available],"XXXX"),1)</definedName>
    <definedName name="Dropdown_Requester">Table_Requester[Requester]</definedName>
    <definedName name="Dropdown_SEctionNum">Table_SectionNames[Section '#]</definedName>
    <definedName name="Dropdown_SubmittingPortfolio">Table_SubmittingPortfolio[Submitting Portfolio]</definedName>
    <definedName name="Dropdown_TravelEndDates">IF(Field15_TravelStartDate&lt;&gt;"",Table_Dates[Travel End Date Available],Field15_TravelStartDate)</definedName>
    <definedName name="Dropdown_TripType">Table_TripType[Trip Type]</definedName>
    <definedName name="Dropdown_YesNo">Table_YesNo[YesNo]</definedName>
    <definedName name="Error_OffsetRef">'Error List'!$A$7</definedName>
    <definedName name="ErrorHighlighter_ReferenceArray">Table_ErrorList[Used Reference]</definedName>
    <definedName name="ErrorHighlighter_TrueArray">Table_ErrorList[Error Evaluation]</definedName>
    <definedName name="Field01_Prefix">'Travel Expense Summary'!$C$12</definedName>
    <definedName name="Field02_FirstName">'Travel Expense Summary'!$C$13</definedName>
    <definedName name="Field03_LastName">'Travel Expense Summary'!$C$14</definedName>
    <definedName name="Field04_Address">'Travel Expense Summary'!$C$15</definedName>
    <definedName name="Field05_City">'Travel Expense Summary'!$C$16</definedName>
    <definedName name="Field06A_Province">'Travel Expense Summary'!$C$17</definedName>
    <definedName name="Field06B_PostalCode">'Travel Expense Summary'!$E$17</definedName>
    <definedName name="Field07A_AddressType">'Travel Expense Summary'!$C$18</definedName>
    <definedName name="Field07B_Email">'Travel Expense Summary'!$C$19</definedName>
    <definedName name="Field07C_DOB">'Travel Expense Summary'!$C$20</definedName>
    <definedName name="Field07D_Phone">'Travel Expense Summary'!$E$20</definedName>
    <definedName name="Field08_Portfolio">'Travel Expense Summary'!$C$21</definedName>
    <definedName name="Field09_PayeeType">'Travel Expense Summary'!$C$22</definedName>
    <definedName name="Field10_PaymentOption">'Travel Expense Summary'!$C$23</definedName>
    <definedName name="Field11_DepartureCity">'Travel Expense Summary'!$C$27</definedName>
    <definedName name="Field12_DestinationCity">'Travel Expense Summary'!$C$28</definedName>
    <definedName name="Field13_TravelScope">'Travel Expense Summary'!$C$29</definedName>
    <definedName name="Field14_TripType">'Travel Expense Summary'!$C$30</definedName>
    <definedName name="Field15_TravelStartDate">'Travel Expense Summary'!$C$31</definedName>
    <definedName name="Field16_TravelEndDate">'Travel Expense Summary'!$C$32</definedName>
    <definedName name="Field17_ClaimType">'Travel Expense Summary'!$C$35</definedName>
    <definedName name="Field18_TravelAdvanceAmount">'Travel Expense Summary'!$C$36</definedName>
    <definedName name="Field19_Purpose">'Travel Expense Summary'!$C$37</definedName>
    <definedName name="Field20_RequestedBy">'Travel Expense Summary'!$C$38</definedName>
    <definedName name="Field21_Description">'Travel Expense Summary'!$H$13</definedName>
    <definedName name="Field22_AddDetails">'Travel Expense Summary'!$H$16</definedName>
    <definedName name="Field23_ContactName">'Travel Expense Summary'!$J$21</definedName>
    <definedName name="Field24_ContactEmail">'Travel Expense Summary'!$J$22</definedName>
    <definedName name="Field25_ContactPhone">'Travel Expense Summary'!$J$23</definedName>
    <definedName name="Field30_MaximumAmount">'Travel Expense Summary'!$F$42</definedName>
    <definedName name="Field31_MaximumReason">'Travel Expense Summary'!$C$43</definedName>
    <definedName name="Form_Formulas">'Travel Expense Summary'!$C$1:$AA$4,'Travel Expense Summary'!$D$8,'Travel Expense Summary'!$B$11,'Travel Expense Summary'!$H$11,'Travel Expense Summary'!$O$11,'Travel Expense Summary'!$V$13:$Y$22,'Travel Expense Summary'!$B$19,'Travel Expense Summary'!$H$20,'Travel Expense Summary'!$H$22,'Travel Expense Summary'!$Z$13:$Z$23,'Travel Expense Summary'!$H$25,'Travel Expense Summary'!$Y$25,'Travel Expense Summary'!$B$26,'Travel Expense Summary'!$B$34,'Travel Expense Summary'!$Z$27:$Z$38,'Travel Expense Summary'!$B$41,'Travel Expense Summary'!$H$41,'Travel Expense Summary'!$P$41,'Travel Expense Summary'!$R$43,'Travel Expense Summary'!$B$46,'Travel Expense Summary'!$K$47,'Travel Expense Summary'!$M$46:$N$48,'Travel Expense Summary'!$B$47:$E$49,'Travel Expense Summary'!$H$50:$V$50,'Travel Expense Summary'!$X$50,'Travel Expense Summary'!$Y$51:$Z$53,'Travel Expense Summary'!$F$47:$F$53</definedName>
    <definedName name="HelpDialogue_FieldEntry">'Travel Expense Summary'!$C$3</definedName>
    <definedName name="HelpDialogue_Message">'Travel Expense Summary'!$C$1</definedName>
    <definedName name="Hide_KMFields">'Expense Type Validation'!$F$52</definedName>
    <definedName name="HideAdvanceAmount">IFERROR(NOT(VLOOKUP(Field17_ClaimType,Table_ClaimType[],MATCH(Table_ClaimType[[#Headers],[Advance Amount Available]],Table_ClaimType[#Headers],0),FALSE)),FALSE)</definedName>
    <definedName name="HideClaimDetails">VLOOKUP(Field09_PayeeType,Table_PayeeType[],MATCH(Table_PayeeType[[#Headers],[ClaimDetails Available]],Table_PayeeType[#Headers],0),FALSE)=FALSE</definedName>
    <definedName name="HideReceiptFields">'Expense Type Validation'!$E$52</definedName>
    <definedName name="HideRequester">IFERROR(NOT(VLOOKUP(Field19_Purpose,Table_Conference[],MATCH(Table_Conference[[#Headers],[Form Required Available]],Table_Conference[#Headers],0),FALSE)),FALSE)</definedName>
    <definedName name="HSTFedRebate">'Particulars Validation'!$AR$7</definedName>
    <definedName name="HSTProvRebate">'Particulars Validation'!$AS$7</definedName>
    <definedName name="HSTTotal">'Particulars Validation'!$AT$7</definedName>
    <definedName name="Lookup_Error">Table_ErrorList[]</definedName>
    <definedName name="Lookup_ErrorHeaders">Table_ErrorList[#Headers]</definedName>
    <definedName name="Lookup_KMCommunity">MATCH('Kilometer Matrix (Appendix F)'!$B$3,Table_KMMatrix[Community],0)-1</definedName>
    <definedName name="Lookup_KMIntersect">IFERROR(FIND(CELL("address",'Kilometer Matrix (Appendix F)'!XEV1048568),IFERROR(CELL("address",OFFSET(INDEX(Table_KMMatrix[],1,1),MATCH('Kilometer Matrix (Appendix F)'!$B$3,Table_KMMatrix[Community],0)-1,MATCH('Kilometer Matrix (Appendix F)'!$D$3,Table_KMMatrix[#Headers],0)-1,1,1)),"")&amp;",",1)&gt;0,FALSE)</definedName>
    <definedName name="Lookup_KMMajor">MATCH('Kilometer Matrix (Appendix F)'!$D$3,Table_KMMatrix[#Headers],0)-1</definedName>
    <definedName name="Lookup_KMRefStart">INDEX(Table_KMMatrix[],1,1)</definedName>
    <definedName name="Lookup_StatusCalc">Table_ClaimStatus[Calculation]</definedName>
    <definedName name="Lookup_StatusColour">Table_ClaimStatus[COLOUR ON]</definedName>
    <definedName name="Meal_DatesArray">'Travel Expense Summary'!$P$13:$P$22</definedName>
    <definedName name="MealMax_Breakfast">'Meal Validation'!$D$10</definedName>
    <definedName name="MealMax_Dinner">'Meal Validation'!$D$12</definedName>
    <definedName name="MealMax_Lunch">'Meal Validation'!$D$11</definedName>
    <definedName name="Meals_Date01">'Travel Expense Summary'!$P$13</definedName>
    <definedName name="Meals_Date02">'Travel Expense Summary'!$P$14</definedName>
    <definedName name="Meals_Date03">'Travel Expense Summary'!$P$15</definedName>
    <definedName name="Meals_Date04">'Travel Expense Summary'!$P$16</definedName>
    <definedName name="Meals_Date05">'Travel Expense Summary'!$P$17</definedName>
    <definedName name="Meals_Date06">'Travel Expense Summary'!$P$18</definedName>
    <definedName name="Meals_Date07">'Travel Expense Summary'!$P$19</definedName>
    <definedName name="Meals_Date08">'Travel Expense Summary'!$P$20</definedName>
    <definedName name="Meals_Date09">'Travel Expense Summary'!$P$21</definedName>
    <definedName name="Meals_Date10">'Travel Expense Summary'!$P$22</definedName>
    <definedName name="Meals_DuplicateDates">'Particulars Validation'!$AY$4</definedName>
    <definedName name="Meals_Receipts01">'Travel Expense Summary'!$R$13,'Travel Expense Summary'!$S$13,'Travel Expense Summary'!$T$13</definedName>
    <definedName name="Meals_Receipts02">'Travel Expense Summary'!$R$14,'Travel Expense Summary'!$S$14,'Travel Expense Summary'!$T$14</definedName>
    <definedName name="Meals_Receipts03">'Travel Expense Summary'!$R$15,'Travel Expense Summary'!$S$15,'Travel Expense Summary'!$T$15</definedName>
    <definedName name="Meals_Receipts04">'Travel Expense Summary'!$R$16,'Travel Expense Summary'!$S$16,'Travel Expense Summary'!$T$16</definedName>
    <definedName name="Meals_Receipts05">'Travel Expense Summary'!$R$17,'Travel Expense Summary'!$S$17,'Travel Expense Summary'!$T$17</definedName>
    <definedName name="Meals_Receipts06">'Travel Expense Summary'!$R$18,'Travel Expense Summary'!$S$18,'Travel Expense Summary'!$T$18</definedName>
    <definedName name="Meals_Receipts07">'Travel Expense Summary'!$R$19,'Travel Expense Summary'!$S$19,'Travel Expense Summary'!$T$19</definedName>
    <definedName name="Meals_Receipts08">'Travel Expense Summary'!$R$20,'Travel Expense Summary'!$S$20,'Travel Expense Summary'!$T$20</definedName>
    <definedName name="Meals_Receipts09">'Travel Expense Summary'!$R$21,'Travel Expense Summary'!$S$21,'Travel Expense Summary'!$T$21</definedName>
    <definedName name="Meals_Receipts10">'Travel Expense Summary'!$R$22,'Travel Expense Summary'!$S$22,'Travel Expense Summary'!$T$22</definedName>
    <definedName name="Other_DateArray">'Travel Expense Summary'!$I$27:$I$37</definedName>
    <definedName name="Other_DescriptionArray">'Travel Expense Summary'!$M$27:$M$37</definedName>
    <definedName name="Other_ExpenseTypeArray">'Travel Expense Summary'!$K$27:$L$37</definedName>
    <definedName name="Other_FromArray">'Travel Expense Summary'!$R$27:$R$37</definedName>
    <definedName name="Other_KMArray">'Travel Expense Summary'!$Y$27:$Y$37</definedName>
    <definedName name="Other_ReceiptAmountArray">'Travel Expense Summary'!$X$27:$X$37</definedName>
    <definedName name="Other_ToArray">'Travel Expense Summary'!$T$27:$T$37</definedName>
    <definedName name="Other_TotalArray">'Travel Expense Summary'!$Z$27:$Z$37</definedName>
    <definedName name="Others_Date01">'Travel Expense Summary'!$I$27</definedName>
    <definedName name="Others_Date02">'Travel Expense Summary'!$I$28</definedName>
    <definedName name="Others_Date03">'Travel Expense Summary'!$I$29</definedName>
    <definedName name="Others_Date04">'Travel Expense Summary'!$I$30</definedName>
    <definedName name="Others_Date05">'Travel Expense Summary'!$I$31</definedName>
    <definedName name="Others_Date06">'Travel Expense Summary'!$I$32</definedName>
    <definedName name="Others_Date07">'Travel Expense Summary'!$I$33</definedName>
    <definedName name="Others_Date08">'Travel Expense Summary'!$I$34</definedName>
    <definedName name="Others_Date09">'Travel Expense Summary'!$I$35</definedName>
    <definedName name="Others_Date10">'Travel Expense Summary'!$I$36</definedName>
    <definedName name="Others_Date11">'Travel Expense Summary'!$I$37</definedName>
    <definedName name="Others_Desc01">'Travel Expense Summary'!$M$27</definedName>
    <definedName name="Others_Desc02">'Travel Expense Summary'!$M$28</definedName>
    <definedName name="Others_Desc03">'Travel Expense Summary'!$M$29</definedName>
    <definedName name="Others_Desc04">'Travel Expense Summary'!$M$30</definedName>
    <definedName name="Others_Desc05">'Travel Expense Summary'!$M$31</definedName>
    <definedName name="Others_Desc06">'Travel Expense Summary'!$M$32</definedName>
    <definedName name="Others_Desc07">'Travel Expense Summary'!$M$33</definedName>
    <definedName name="Others_Desc08">'Travel Expense Summary'!$M$34</definedName>
    <definedName name="Others_Desc09">'Travel Expense Summary'!$M$35</definedName>
    <definedName name="Others_Desc10">'Travel Expense Summary'!$M$36</definedName>
    <definedName name="Others_Desc11">'Travel Expense Summary'!$M$37</definedName>
    <definedName name="Others_Expense01">'Travel Expense Summary'!$K$27</definedName>
    <definedName name="Others_Expense02">'Travel Expense Summary'!$K$28</definedName>
    <definedName name="Others_Expense03">'Travel Expense Summary'!$K$29</definedName>
    <definedName name="Others_Expense04">'Travel Expense Summary'!$K$30</definedName>
    <definedName name="Others_Expense05">'Travel Expense Summary'!$K$31</definedName>
    <definedName name="Others_Expense06">'Travel Expense Summary'!$K$32</definedName>
    <definedName name="Others_Expense07">'Travel Expense Summary'!$K$33</definedName>
    <definedName name="Others_Expense08">'Travel Expense Summary'!$K$34</definedName>
    <definedName name="Others_Expense09">'Travel Expense Summary'!$K$35</definedName>
    <definedName name="Others_Expense10">'Travel Expense Summary'!$K$36</definedName>
    <definedName name="Others_Expense11">'Travel Expense Summary'!$K$37</definedName>
    <definedName name="Others_From01">'Travel Expense Summary'!$R$27</definedName>
    <definedName name="Others_From02">'Travel Expense Summary'!$R$28</definedName>
    <definedName name="Others_From03">'Travel Expense Summary'!$R$29</definedName>
    <definedName name="Others_From04">'Travel Expense Summary'!$R$30</definedName>
    <definedName name="Others_From05">'Travel Expense Summary'!$R$31</definedName>
    <definedName name="Others_From06">'Travel Expense Summary'!$R$32</definedName>
    <definedName name="Others_From07">'Travel Expense Summary'!$R$33</definedName>
    <definedName name="Others_From08">'Travel Expense Summary'!$R$34</definedName>
    <definedName name="Others_From09">'Travel Expense Summary'!$R$35</definedName>
    <definedName name="Others_From10">'Travel Expense Summary'!$R$36</definedName>
    <definedName name="Others_From11">'Travel Expense Summary'!$R$37</definedName>
    <definedName name="Others_KM01">'Travel Expense Summary'!$Y$27</definedName>
    <definedName name="Others_KM02">'Travel Expense Summary'!$Y$28</definedName>
    <definedName name="Others_KM03">'Travel Expense Summary'!$Y$29</definedName>
    <definedName name="Others_KM04">'Travel Expense Summary'!$Y$30</definedName>
    <definedName name="Others_KM05">'Travel Expense Summary'!$Y$31</definedName>
    <definedName name="Others_KM06">'Travel Expense Summary'!$Y$32</definedName>
    <definedName name="Others_KM07">'Travel Expense Summary'!$Y$33</definedName>
    <definedName name="Others_KM08">'Travel Expense Summary'!$Y$34</definedName>
    <definedName name="Others_KM09">'Travel Expense Summary'!$Y$35</definedName>
    <definedName name="Others_KM10">'Travel Expense Summary'!$Y$36</definedName>
    <definedName name="Others_KM11">'Travel Expense Summary'!$Y$37</definedName>
    <definedName name="Others_Receipt01">'Travel Expense Summary'!$X$27</definedName>
    <definedName name="Others_Receipt02">'Travel Expense Summary'!$X$28</definedName>
    <definedName name="Others_Receipt03">'Travel Expense Summary'!$X$29</definedName>
    <definedName name="Others_Receipt04">'Travel Expense Summary'!$X$30</definedName>
    <definedName name="Others_Receipt05">'Travel Expense Summary'!$X$31</definedName>
    <definedName name="Others_Receipt06">'Travel Expense Summary'!$X$32</definedName>
    <definedName name="Others_Receipt07">'Travel Expense Summary'!$X$33</definedName>
    <definedName name="Others_Receipt08">'Travel Expense Summary'!$X$34</definedName>
    <definedName name="Others_Receipt09">'Travel Expense Summary'!$X$35</definedName>
    <definedName name="Others_Receipt10">'Travel Expense Summary'!$X$36</definedName>
    <definedName name="Others_Receipt11">'Travel Expense Summary'!$X$37</definedName>
    <definedName name="Others_To01">'Travel Expense Summary'!$T$27</definedName>
    <definedName name="Others_To02">'Travel Expense Summary'!$T$28</definedName>
    <definedName name="Others_To03">'Travel Expense Summary'!$T$29</definedName>
    <definedName name="Others_To04">'Travel Expense Summary'!$T$30</definedName>
    <definedName name="Others_To05">'Travel Expense Summary'!$T$31</definedName>
    <definedName name="Others_To06">'Travel Expense Summary'!$T$32</definedName>
    <definedName name="Others_To07">'Travel Expense Summary'!$T$33</definedName>
    <definedName name="Others_To08">'Travel Expense Summary'!$T$34</definedName>
    <definedName name="Others_To09">'Travel Expense Summary'!$T$35</definedName>
    <definedName name="Others_To10">'Travel Expense Summary'!$T$36</definedName>
    <definedName name="Others_To11">'Travel Expense Summary'!$T$37</definedName>
    <definedName name="PostalValidated">'Particulars Validation'!$W$16</definedName>
    <definedName name="_xlnm.Print_Area" localSheetId="0">'Travel Expense Summary'!$A$5:$AA$54</definedName>
    <definedName name="_xlnm.Print_Titles" localSheetId="1">'Kilometer Matrix (Appendix F)'!$1:$13</definedName>
    <definedName name="ReceiptAreaMeals">'Travel Expense Summary'!$R$13:$U$22</definedName>
    <definedName name="ReceiptEntryArea">'Travel Expense Summary'!$P$13:$U$22,'Travel Expense Summary'!$I$27:$Y$36</definedName>
    <definedName name="ReceiptHeaders">'Travel Expense Summary'!$O$11,'Travel Expense Summary'!$H$25</definedName>
    <definedName name="SubmissionDateVal_End">'Particulars Validation'!$D$79</definedName>
    <definedName name="SubmissionDateVal_Start">'Particulars Validation'!$D$78</definedName>
    <definedName name="Table_MealClaims">'Travel Expense Summary'!$P$13+'Travel Expense Summary'!$P$13:$Z$22</definedName>
    <definedName name="Table_OtherExps">'Travel Expense Summary'!$J$27:$Z$36</definedName>
    <definedName name="Total_Advance">IF(IFERROR(VLOOKUP(Field17_ClaimType,Table_ClaimType[],MATCH(Table_ClaimType[[#Headers],[Advance Amount Available]],Table_ClaimType[#Headers],0),FALSE),FALSE),-Field18_TravelAdvanceAmount,0)</definedName>
    <definedName name="Total_ClaimAllocation">SUM(ClaimAllocation_AmountArray)</definedName>
    <definedName name="Total_Eligible">IF(OR(Field30_MaximumAmount=0,Field30_MaximumAmount=""),Total_ExpenseClaimed,IF(Field30_MaximumAmount&lt;=Total_ExpenseClaimed,Field30_MaximumAmount,Total_ExpenseClaimed))</definedName>
    <definedName name="Total_ExpenseClaimed">SUM(Total_Meals,Total_TransAccomm,Total_Registration)</definedName>
    <definedName name="Total_Meals">SUMIF(Other_ExpenseTypeArray,"Meals*",Other_TotalArray)+'Travel Expense Summary'!$Z$23</definedName>
    <definedName name="Total_Other">'Travel Expense Summary'!$Z$38</definedName>
    <definedName name="Total_Payable">Total_Eligible+Total_Advance</definedName>
    <definedName name="Total_Registration">SUMIF(Other_ExpenseTypeArray,"Reg*",Other_TotalArray)</definedName>
    <definedName name="Total_TransAccomm">SUMIF(Other_ExpenseTypeArray,"Trans*",Other_TotalArray)+SUMIF(Other_ExpenseTypeArray,"Accomm*",Other_TotalArray)</definedName>
    <definedName name="TravelTextDescription">'Text Summary'!$B$3</definedName>
    <definedName name="TravelTextDescription_Display">'Text Summary'!$B$2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3" i="7" l="1"/>
  <c r="A154" i="7"/>
  <c r="A145" i="7"/>
  <c r="A136" i="7"/>
  <c r="A127" i="7"/>
  <c r="A118" i="7"/>
  <c r="A109" i="7"/>
  <c r="A100" i="7"/>
  <c r="A91" i="7"/>
  <c r="A73" i="7"/>
  <c r="A82" i="7"/>
  <c r="E213" i="8"/>
  <c r="E214" i="8"/>
  <c r="J214" i="8" s="1"/>
  <c r="E215" i="8"/>
  <c r="J215" i="8" s="1"/>
  <c r="E216" i="8"/>
  <c r="G216" i="8" s="1"/>
  <c r="E217" i="8"/>
  <c r="F213" i="8"/>
  <c r="F214" i="8"/>
  <c r="F215" i="8"/>
  <c r="F216" i="8"/>
  <c r="F217" i="8"/>
  <c r="G213" i="8"/>
  <c r="K213" i="8" s="1"/>
  <c r="G214" i="8"/>
  <c r="K214" i="8" s="1"/>
  <c r="G217" i="8"/>
  <c r="H214" i="8"/>
  <c r="H217" i="8"/>
  <c r="I214" i="8"/>
  <c r="I215" i="8"/>
  <c r="I216" i="8"/>
  <c r="I217" i="8"/>
  <c r="J217" i="8"/>
  <c r="H215" i="8"/>
  <c r="G215" i="8"/>
  <c r="K215" i="8"/>
  <c r="D15" i="7"/>
  <c r="F15" i="7"/>
  <c r="R15" i="7"/>
  <c r="T15" i="7"/>
  <c r="U15" i="7"/>
  <c r="V15" i="7"/>
  <c r="V11" i="4"/>
  <c r="V14" i="4"/>
  <c r="V12" i="4"/>
  <c r="V4" i="4"/>
  <c r="W12" i="4"/>
  <c r="V9" i="4"/>
  <c r="V13" i="4"/>
  <c r="V10" i="4"/>
  <c r="V8" i="4"/>
  <c r="A165" i="7"/>
  <c r="A156" i="7"/>
  <c r="A147" i="7"/>
  <c r="A138" i="7"/>
  <c r="A129" i="7"/>
  <c r="A120" i="7"/>
  <c r="A111" i="7"/>
  <c r="D165" i="7"/>
  <c r="F165" i="7"/>
  <c r="R165" i="7"/>
  <c r="T165" i="7"/>
  <c r="U165" i="7"/>
  <c r="V165" i="7"/>
  <c r="D156" i="7"/>
  <c r="F156" i="7"/>
  <c r="R156" i="7"/>
  <c r="T156" i="7"/>
  <c r="U156" i="7"/>
  <c r="V156" i="7"/>
  <c r="D147" i="7"/>
  <c r="F147" i="7"/>
  <c r="R147" i="7"/>
  <c r="T147" i="7"/>
  <c r="U147" i="7"/>
  <c r="V147" i="7"/>
  <c r="D138" i="7"/>
  <c r="F138" i="7"/>
  <c r="R138" i="7"/>
  <c r="T138" i="7"/>
  <c r="U138" i="7"/>
  <c r="V138" i="7"/>
  <c r="D129" i="7"/>
  <c r="F129" i="7"/>
  <c r="R129" i="7"/>
  <c r="T129" i="7"/>
  <c r="U129" i="7"/>
  <c r="V129" i="7"/>
  <c r="D120" i="7"/>
  <c r="F120" i="7"/>
  <c r="R120" i="7"/>
  <c r="T120" i="7"/>
  <c r="U120" i="7"/>
  <c r="V120" i="7"/>
  <c r="D111" i="7"/>
  <c r="F111" i="7"/>
  <c r="R111" i="7"/>
  <c r="T111" i="7"/>
  <c r="U111" i="7"/>
  <c r="V111" i="7"/>
  <c r="D102" i="7"/>
  <c r="F102" i="7"/>
  <c r="R102" i="7"/>
  <c r="T102" i="7"/>
  <c r="U102" i="7"/>
  <c r="V102" i="7"/>
  <c r="D93" i="7"/>
  <c r="F93" i="7"/>
  <c r="R93" i="7"/>
  <c r="T93" i="7"/>
  <c r="U93" i="7"/>
  <c r="V93" i="7"/>
  <c r="D84" i="7"/>
  <c r="F84" i="7"/>
  <c r="R84" i="7"/>
  <c r="T84" i="7"/>
  <c r="U84" i="7"/>
  <c r="V84" i="7"/>
  <c r="D75" i="7"/>
  <c r="F75" i="7"/>
  <c r="R75" i="7"/>
  <c r="T75" i="7"/>
  <c r="U75" i="7"/>
  <c r="V75" i="7"/>
  <c r="D22" i="7"/>
  <c r="F22" i="7"/>
  <c r="R22" i="7"/>
  <c r="T22" i="7"/>
  <c r="U22" i="7"/>
  <c r="V22" i="7"/>
  <c r="D163" i="7"/>
  <c r="F163" i="7"/>
  <c r="R163" i="7"/>
  <c r="T163" i="7"/>
  <c r="U163" i="7"/>
  <c r="V163" i="7"/>
  <c r="D154" i="7"/>
  <c r="F154" i="7"/>
  <c r="R154" i="7"/>
  <c r="T154" i="7"/>
  <c r="U154" i="7"/>
  <c r="V154" i="7"/>
  <c r="D145" i="7"/>
  <c r="F145" i="7"/>
  <c r="R145" i="7"/>
  <c r="T145" i="7"/>
  <c r="U145" i="7"/>
  <c r="V145" i="7"/>
  <c r="D136" i="7"/>
  <c r="F136" i="7"/>
  <c r="R136" i="7"/>
  <c r="T136" i="7"/>
  <c r="U136" i="7"/>
  <c r="V136" i="7"/>
  <c r="D127" i="7"/>
  <c r="F127" i="7"/>
  <c r="R127" i="7"/>
  <c r="T127" i="7"/>
  <c r="U127" i="7"/>
  <c r="V127" i="7"/>
  <c r="D118" i="7"/>
  <c r="F118" i="7"/>
  <c r="R118" i="7"/>
  <c r="T118" i="7"/>
  <c r="U118" i="7"/>
  <c r="V118" i="7"/>
  <c r="D109" i="7"/>
  <c r="F109" i="7"/>
  <c r="R109" i="7"/>
  <c r="T109" i="7"/>
  <c r="U109" i="7"/>
  <c r="V109" i="7"/>
  <c r="D100" i="7"/>
  <c r="F100" i="7"/>
  <c r="R100" i="7"/>
  <c r="T100" i="7"/>
  <c r="U100" i="7"/>
  <c r="V100" i="7"/>
  <c r="D91" i="7"/>
  <c r="F91" i="7"/>
  <c r="R91" i="7"/>
  <c r="T91" i="7"/>
  <c r="U91" i="7"/>
  <c r="V91" i="7"/>
  <c r="D82" i="7"/>
  <c r="F82" i="7"/>
  <c r="R82" i="7"/>
  <c r="T82" i="7"/>
  <c r="U82" i="7"/>
  <c r="V82" i="7"/>
  <c r="D73" i="7"/>
  <c r="F73" i="7"/>
  <c r="R73" i="7"/>
  <c r="T73" i="7"/>
  <c r="U73" i="7"/>
  <c r="V73" i="7"/>
  <c r="D7" i="11"/>
  <c r="F7" i="11" s="1"/>
  <c r="E7" i="11" s="1"/>
  <c r="A70" i="7"/>
  <c r="A67" i="7"/>
  <c r="A64" i="7"/>
  <c r="A61" i="7"/>
  <c r="A58" i="7"/>
  <c r="A55" i="7"/>
  <c r="A52" i="7"/>
  <c r="A49" i="7"/>
  <c r="A46" i="7"/>
  <c r="D70" i="7"/>
  <c r="F70" i="7"/>
  <c r="T70" i="7"/>
  <c r="U70" i="7"/>
  <c r="V70" i="7"/>
  <c r="D67" i="7"/>
  <c r="F67" i="7"/>
  <c r="T67" i="7"/>
  <c r="U67" i="7"/>
  <c r="V67" i="7"/>
  <c r="D61" i="7"/>
  <c r="F61" i="7"/>
  <c r="T61" i="7"/>
  <c r="U61" i="7"/>
  <c r="V61" i="7"/>
  <c r="D64" i="7"/>
  <c r="F64" i="7"/>
  <c r="T64" i="7"/>
  <c r="U64" i="7"/>
  <c r="V64" i="7"/>
  <c r="D58" i="7"/>
  <c r="F58" i="7"/>
  <c r="T58" i="7"/>
  <c r="U58" i="7"/>
  <c r="V58" i="7"/>
  <c r="D55" i="7"/>
  <c r="F55" i="7"/>
  <c r="T55" i="7"/>
  <c r="U55" i="7"/>
  <c r="V55" i="7"/>
  <c r="D52" i="7"/>
  <c r="F52" i="7"/>
  <c r="T52" i="7"/>
  <c r="U52" i="7"/>
  <c r="V52" i="7"/>
  <c r="D49" i="7"/>
  <c r="F49" i="7"/>
  <c r="T49" i="7"/>
  <c r="U49" i="7"/>
  <c r="V49" i="7"/>
  <c r="D46" i="7"/>
  <c r="F46" i="7"/>
  <c r="T46" i="7"/>
  <c r="U46" i="7"/>
  <c r="V46" i="7"/>
  <c r="A43" i="7"/>
  <c r="D43" i="7"/>
  <c r="F43" i="7"/>
  <c r="R43" i="7"/>
  <c r="T43" i="7"/>
  <c r="U43" i="7"/>
  <c r="V43" i="7"/>
  <c r="A172" i="7"/>
  <c r="D172" i="7"/>
  <c r="F172" i="7"/>
  <c r="R172" i="7"/>
  <c r="T172" i="7"/>
  <c r="U172" i="7"/>
  <c r="V172" i="7"/>
  <c r="A31" i="7"/>
  <c r="D31" i="7"/>
  <c r="F31" i="7"/>
  <c r="H31" i="7"/>
  <c r="K31" i="7"/>
  <c r="J31" i="7"/>
  <c r="R31" i="7"/>
  <c r="T31" i="7"/>
  <c r="U31" i="7"/>
  <c r="V31" i="7"/>
  <c r="A30" i="7"/>
  <c r="D30" i="7"/>
  <c r="F30" i="7"/>
  <c r="H30" i="7"/>
  <c r="K30" i="7"/>
  <c r="J30" i="7"/>
  <c r="R30" i="7"/>
  <c r="T30" i="7"/>
  <c r="U30" i="7"/>
  <c r="V30" i="7"/>
  <c r="E20" i="15"/>
  <c r="E21" i="15"/>
  <c r="E29" i="15"/>
  <c r="E37" i="15"/>
  <c r="E38" i="15"/>
  <c r="E43" i="15"/>
  <c r="E22" i="15"/>
  <c r="E6" i="15"/>
  <c r="A8" i="7"/>
  <c r="E210" i="8"/>
  <c r="G210" i="8" s="1"/>
  <c r="K210" i="8" s="1"/>
  <c r="E211" i="8"/>
  <c r="J211" i="8" s="1"/>
  <c r="E212" i="8"/>
  <c r="I212" i="8" s="1"/>
  <c r="F210" i="8"/>
  <c r="F211" i="8"/>
  <c r="F212" i="8"/>
  <c r="I211" i="8"/>
  <c r="I210" i="8"/>
  <c r="H211" i="8"/>
  <c r="D7" i="7"/>
  <c r="F7" i="7"/>
  <c r="H7" i="7"/>
  <c r="K7" i="7"/>
  <c r="J7" i="7" s="1"/>
  <c r="R7" i="7"/>
  <c r="T7" i="7"/>
  <c r="U7" i="7"/>
  <c r="V7" i="7"/>
  <c r="E207" i="8"/>
  <c r="E208" i="8"/>
  <c r="I208" i="8" s="1"/>
  <c r="E209" i="8"/>
  <c r="F207" i="8"/>
  <c r="F208" i="8"/>
  <c r="F209" i="8"/>
  <c r="B47" i="9"/>
  <c r="A18" i="7"/>
  <c r="B10" i="17"/>
  <c r="F3" i="17"/>
  <c r="G3" i="17" s="1"/>
  <c r="D14" i="18"/>
  <c r="D9" i="18"/>
  <c r="D10" i="18"/>
  <c r="D11" i="18"/>
  <c r="D12" i="18"/>
  <c r="D13" i="18"/>
  <c r="D8" i="18"/>
  <c r="D7"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8" i="18"/>
  <c r="B7" i="18"/>
  <c r="G207" i="8"/>
  <c r="K207" i="8" s="1"/>
  <c r="J209" i="8"/>
  <c r="E204" i="8"/>
  <c r="I204" i="8"/>
  <c r="E205" i="8"/>
  <c r="H205" i="8" s="1"/>
  <c r="E206" i="8"/>
  <c r="G206" i="8" s="1"/>
  <c r="F204" i="8"/>
  <c r="F205" i="8"/>
  <c r="F206" i="8"/>
  <c r="H204" i="8"/>
  <c r="J206" i="8"/>
  <c r="J204" i="8"/>
  <c r="G204" i="8"/>
  <c r="K47" i="9"/>
  <c r="B25" i="5"/>
  <c r="G25" i="5"/>
  <c r="L25" i="5"/>
  <c r="M25" i="5" s="1"/>
  <c r="D8" i="7"/>
  <c r="D9" i="7"/>
  <c r="D10" i="7"/>
  <c r="D11" i="7"/>
  <c r="D12" i="7"/>
  <c r="D13" i="7"/>
  <c r="D14" i="7"/>
  <c r="D16" i="7"/>
  <c r="D17" i="7"/>
  <c r="D18" i="7"/>
  <c r="D19" i="7"/>
  <c r="D20" i="7"/>
  <c r="D21" i="7"/>
  <c r="D23" i="7"/>
  <c r="D24" i="7"/>
  <c r="D25" i="7"/>
  <c r="D26" i="7"/>
  <c r="D27" i="7"/>
  <c r="D28" i="7"/>
  <c r="D29" i="7"/>
  <c r="D32" i="7"/>
  <c r="D33" i="7"/>
  <c r="D34" i="7"/>
  <c r="D35" i="7"/>
  <c r="D36" i="7"/>
  <c r="D37" i="7"/>
  <c r="D38" i="7"/>
  <c r="D39" i="7"/>
  <c r="D40" i="7"/>
  <c r="D41" i="7"/>
  <c r="D42" i="7"/>
  <c r="D44" i="7"/>
  <c r="D45" i="7"/>
  <c r="D47" i="7"/>
  <c r="D48" i="7"/>
  <c r="D50" i="7"/>
  <c r="D51" i="7"/>
  <c r="D53" i="7"/>
  <c r="D54" i="7"/>
  <c r="D56" i="7"/>
  <c r="D57" i="7"/>
  <c r="D59" i="7"/>
  <c r="D60" i="7"/>
  <c r="D62" i="7"/>
  <c r="D63" i="7"/>
  <c r="D65" i="7"/>
  <c r="D66" i="7"/>
  <c r="D68" i="7"/>
  <c r="D69" i="7"/>
  <c r="D71" i="7"/>
  <c r="D72" i="7"/>
  <c r="D74" i="7"/>
  <c r="D76" i="7"/>
  <c r="D77" i="7"/>
  <c r="D78" i="7"/>
  <c r="D79" i="7"/>
  <c r="D80" i="7"/>
  <c r="D81" i="7"/>
  <c r="D83" i="7"/>
  <c r="D85" i="7"/>
  <c r="D86" i="7"/>
  <c r="D87" i="7"/>
  <c r="D88" i="7"/>
  <c r="D89" i="7"/>
  <c r="D90" i="7"/>
  <c r="D92" i="7"/>
  <c r="D94" i="7"/>
  <c r="D95" i="7"/>
  <c r="D96" i="7"/>
  <c r="D97" i="7"/>
  <c r="D98" i="7"/>
  <c r="D99" i="7"/>
  <c r="D101" i="7"/>
  <c r="D103" i="7"/>
  <c r="D104" i="7"/>
  <c r="D105" i="7"/>
  <c r="D106" i="7"/>
  <c r="D107" i="7"/>
  <c r="D108" i="7"/>
  <c r="D110" i="7"/>
  <c r="D112" i="7"/>
  <c r="D113" i="7"/>
  <c r="D114" i="7"/>
  <c r="D115" i="7"/>
  <c r="D116" i="7"/>
  <c r="D117" i="7"/>
  <c r="D119" i="7"/>
  <c r="D121" i="7"/>
  <c r="D122" i="7"/>
  <c r="D123" i="7"/>
  <c r="D124" i="7"/>
  <c r="D125" i="7"/>
  <c r="D126" i="7"/>
  <c r="D128" i="7"/>
  <c r="D130" i="7"/>
  <c r="D131" i="7"/>
  <c r="D132" i="7"/>
  <c r="D133" i="7"/>
  <c r="D134" i="7"/>
  <c r="D135" i="7"/>
  <c r="D137" i="7"/>
  <c r="D139" i="7"/>
  <c r="D140" i="7"/>
  <c r="D141" i="7"/>
  <c r="D142" i="7"/>
  <c r="D143" i="7"/>
  <c r="D144" i="7"/>
  <c r="D146" i="7"/>
  <c r="D148" i="7"/>
  <c r="D149" i="7"/>
  <c r="D150" i="7"/>
  <c r="D151" i="7"/>
  <c r="D152" i="7"/>
  <c r="D153" i="7"/>
  <c r="D155" i="7"/>
  <c r="D157" i="7"/>
  <c r="D158" i="7"/>
  <c r="D159" i="7"/>
  <c r="D160" i="7"/>
  <c r="D161" i="7"/>
  <c r="D162" i="7"/>
  <c r="D164" i="7"/>
  <c r="D166" i="7"/>
  <c r="D167" i="7"/>
  <c r="D168" i="7"/>
  <c r="D169" i="7"/>
  <c r="D170" i="7"/>
  <c r="D173" i="7"/>
  <c r="D174" i="7"/>
  <c r="D175" i="7"/>
  <c r="D176" i="7"/>
  <c r="D177" i="7"/>
  <c r="D180" i="7"/>
  <c r="D181" i="7"/>
  <c r="D182" i="7"/>
  <c r="D183" i="7"/>
  <c r="D178" i="7"/>
  <c r="D179" i="7"/>
  <c r="D171" i="7"/>
  <c r="D184" i="7"/>
  <c r="H4" i="7"/>
  <c r="F8" i="7"/>
  <c r="F9" i="7"/>
  <c r="F10" i="7"/>
  <c r="F11" i="7"/>
  <c r="F12" i="7"/>
  <c r="F13" i="7"/>
  <c r="F14" i="7"/>
  <c r="F16" i="7"/>
  <c r="F17" i="7"/>
  <c r="F18" i="7"/>
  <c r="F19" i="7"/>
  <c r="F20" i="7"/>
  <c r="F21" i="7"/>
  <c r="F23" i="7"/>
  <c r="F24" i="7"/>
  <c r="F25" i="7"/>
  <c r="F26" i="7"/>
  <c r="F27" i="7"/>
  <c r="F28" i="7"/>
  <c r="F29" i="7"/>
  <c r="F32" i="7"/>
  <c r="F33" i="7"/>
  <c r="F34" i="7"/>
  <c r="F35" i="7"/>
  <c r="F36" i="7"/>
  <c r="F37" i="7"/>
  <c r="F38" i="7"/>
  <c r="F39" i="7"/>
  <c r="F40" i="7"/>
  <c r="F41" i="7"/>
  <c r="F42" i="7"/>
  <c r="F44" i="7"/>
  <c r="F45" i="7"/>
  <c r="F47" i="7"/>
  <c r="F48" i="7"/>
  <c r="F50" i="7"/>
  <c r="F51" i="7"/>
  <c r="F53" i="7"/>
  <c r="F54" i="7"/>
  <c r="F56" i="7"/>
  <c r="F57" i="7"/>
  <c r="F59" i="7"/>
  <c r="F60" i="7"/>
  <c r="F62" i="7"/>
  <c r="F63" i="7"/>
  <c r="F65" i="7"/>
  <c r="F66" i="7"/>
  <c r="F68" i="7"/>
  <c r="F69" i="7"/>
  <c r="F71" i="7"/>
  <c r="F72" i="7"/>
  <c r="F74" i="7"/>
  <c r="F76" i="7"/>
  <c r="F77" i="7"/>
  <c r="F78" i="7"/>
  <c r="F79" i="7"/>
  <c r="F80" i="7"/>
  <c r="F81" i="7"/>
  <c r="F83" i="7"/>
  <c r="F85" i="7"/>
  <c r="F86" i="7"/>
  <c r="F87" i="7"/>
  <c r="F88" i="7"/>
  <c r="F89" i="7"/>
  <c r="F90" i="7"/>
  <c r="F92" i="7"/>
  <c r="F94" i="7"/>
  <c r="F95" i="7"/>
  <c r="F96" i="7"/>
  <c r="F97" i="7"/>
  <c r="F98" i="7"/>
  <c r="F99" i="7"/>
  <c r="F101" i="7"/>
  <c r="F103" i="7"/>
  <c r="F104" i="7"/>
  <c r="F105" i="7"/>
  <c r="F106" i="7"/>
  <c r="F107" i="7"/>
  <c r="F108" i="7"/>
  <c r="F110" i="7"/>
  <c r="F112" i="7"/>
  <c r="F113" i="7"/>
  <c r="F114" i="7"/>
  <c r="F115" i="7"/>
  <c r="F116" i="7"/>
  <c r="F117" i="7"/>
  <c r="F119" i="7"/>
  <c r="F121" i="7"/>
  <c r="F122" i="7"/>
  <c r="F123" i="7"/>
  <c r="F124" i="7"/>
  <c r="F125" i="7"/>
  <c r="F126" i="7"/>
  <c r="F128" i="7"/>
  <c r="F130" i="7"/>
  <c r="F131" i="7"/>
  <c r="F132" i="7"/>
  <c r="F133" i="7"/>
  <c r="F134" i="7"/>
  <c r="F135" i="7"/>
  <c r="F137" i="7"/>
  <c r="F139" i="7"/>
  <c r="F140" i="7"/>
  <c r="F141" i="7"/>
  <c r="F142" i="7"/>
  <c r="F143" i="7"/>
  <c r="F144" i="7"/>
  <c r="F146" i="7"/>
  <c r="F148" i="7"/>
  <c r="F149" i="7"/>
  <c r="F150" i="7"/>
  <c r="F151" i="7"/>
  <c r="F152" i="7"/>
  <c r="F153" i="7"/>
  <c r="F155" i="7"/>
  <c r="F157" i="7"/>
  <c r="F158" i="7"/>
  <c r="F159" i="7"/>
  <c r="F160" i="7"/>
  <c r="F161" i="7"/>
  <c r="F162" i="7"/>
  <c r="F164" i="7"/>
  <c r="F166" i="7"/>
  <c r="F167" i="7"/>
  <c r="F168" i="7"/>
  <c r="F169" i="7"/>
  <c r="F170" i="7"/>
  <c r="F173" i="7"/>
  <c r="F174" i="7"/>
  <c r="F175" i="7"/>
  <c r="F176" i="7"/>
  <c r="F177" i="7"/>
  <c r="F180" i="7"/>
  <c r="F181" i="7"/>
  <c r="F182" i="7"/>
  <c r="F183" i="7"/>
  <c r="F178" i="7"/>
  <c r="F179" i="7"/>
  <c r="F171" i="7"/>
  <c r="F184" i="7"/>
  <c r="E7" i="15"/>
  <c r="E8" i="15"/>
  <c r="E9" i="15"/>
  <c r="E10" i="15"/>
  <c r="E11" i="15"/>
  <c r="E12" i="15"/>
  <c r="E13" i="15"/>
  <c r="E14" i="15"/>
  <c r="E15" i="15"/>
  <c r="E16" i="15"/>
  <c r="E17" i="15"/>
  <c r="E18" i="15"/>
  <c r="H50" i="9"/>
  <c r="E19" i="15"/>
  <c r="X50" i="9"/>
  <c r="E39" i="15"/>
  <c r="B41" i="9"/>
  <c r="H25" i="9"/>
  <c r="E36" i="15"/>
  <c r="H41" i="9"/>
  <c r="E41" i="15"/>
  <c r="O11" i="9"/>
  <c r="E35" i="15"/>
  <c r="B26" i="9"/>
  <c r="E31" i="15"/>
  <c r="E33" i="15"/>
  <c r="H11" i="9"/>
  <c r="E42" i="15"/>
  <c r="P41" i="9"/>
  <c r="E32" i="15"/>
  <c r="B34" i="9"/>
  <c r="B46" i="9"/>
  <c r="E40" i="15"/>
  <c r="E34" i="15"/>
  <c r="H20" i="9"/>
  <c r="E30" i="15"/>
  <c r="B11" i="9"/>
  <c r="E203" i="8"/>
  <c r="H203" i="8" s="1"/>
  <c r="F203" i="8"/>
  <c r="R174" i="7"/>
  <c r="B24" i="5"/>
  <c r="G24" i="5"/>
  <c r="L24" i="5"/>
  <c r="M24" i="5"/>
  <c r="B10" i="5"/>
  <c r="G10" i="5"/>
  <c r="L10" i="5"/>
  <c r="M10" i="5" s="1"/>
  <c r="V8" i="7"/>
  <c r="V9" i="7"/>
  <c r="V10" i="7"/>
  <c r="V11" i="7"/>
  <c r="V12" i="7"/>
  <c r="V13" i="7"/>
  <c r="V14" i="7"/>
  <c r="V16" i="7"/>
  <c r="V17" i="7"/>
  <c r="V18" i="7"/>
  <c r="V19" i="7"/>
  <c r="V20" i="7"/>
  <c r="V21" i="7"/>
  <c r="V23" i="7"/>
  <c r="V24" i="7"/>
  <c r="V25" i="7"/>
  <c r="V26" i="7"/>
  <c r="V27" i="7"/>
  <c r="V28" i="7"/>
  <c r="V29" i="7"/>
  <c r="V32" i="7"/>
  <c r="V33" i="7"/>
  <c r="V34" i="7"/>
  <c r="V35" i="7"/>
  <c r="V36" i="7"/>
  <c r="V37" i="7"/>
  <c r="V38" i="7"/>
  <c r="V39" i="7"/>
  <c r="V40" i="7"/>
  <c r="V41" i="7"/>
  <c r="V42" i="7"/>
  <c r="V44" i="7"/>
  <c r="V45" i="7"/>
  <c r="V47" i="7"/>
  <c r="V48" i="7"/>
  <c r="V50" i="7"/>
  <c r="V51" i="7"/>
  <c r="V53" i="7"/>
  <c r="V54" i="7"/>
  <c r="V56" i="7"/>
  <c r="V57" i="7"/>
  <c r="V59" i="7"/>
  <c r="V60" i="7"/>
  <c r="V62" i="7"/>
  <c r="V63" i="7"/>
  <c r="V65" i="7"/>
  <c r="V66" i="7"/>
  <c r="V68" i="7"/>
  <c r="V69" i="7"/>
  <c r="V71" i="7"/>
  <c r="V72" i="7"/>
  <c r="V74" i="7"/>
  <c r="V76" i="7"/>
  <c r="V77" i="7"/>
  <c r="V78" i="7"/>
  <c r="V79" i="7"/>
  <c r="V80" i="7"/>
  <c r="V81" i="7"/>
  <c r="V83" i="7"/>
  <c r="V85" i="7"/>
  <c r="V86" i="7"/>
  <c r="V87" i="7"/>
  <c r="V88" i="7"/>
  <c r="V89" i="7"/>
  <c r="V90" i="7"/>
  <c r="V92" i="7"/>
  <c r="V94" i="7"/>
  <c r="V95" i="7"/>
  <c r="V96" i="7"/>
  <c r="V97" i="7"/>
  <c r="V98" i="7"/>
  <c r="V99" i="7"/>
  <c r="V101" i="7"/>
  <c r="V103" i="7"/>
  <c r="V104" i="7"/>
  <c r="V105" i="7"/>
  <c r="V106" i="7"/>
  <c r="V107" i="7"/>
  <c r="V108" i="7"/>
  <c r="V110" i="7"/>
  <c r="V112" i="7"/>
  <c r="V113" i="7"/>
  <c r="V114" i="7"/>
  <c r="V115" i="7"/>
  <c r="V116" i="7"/>
  <c r="V117" i="7"/>
  <c r="V119" i="7"/>
  <c r="V121" i="7"/>
  <c r="V122" i="7"/>
  <c r="V123" i="7"/>
  <c r="V124" i="7"/>
  <c r="V125" i="7"/>
  <c r="V126" i="7"/>
  <c r="V128" i="7"/>
  <c r="V130" i="7"/>
  <c r="V131" i="7"/>
  <c r="V132" i="7"/>
  <c r="V133" i="7"/>
  <c r="V134" i="7"/>
  <c r="V135" i="7"/>
  <c r="V137" i="7"/>
  <c r="V139" i="7"/>
  <c r="V140" i="7"/>
  <c r="V141" i="7"/>
  <c r="V142" i="7"/>
  <c r="V143" i="7"/>
  <c r="V144" i="7"/>
  <c r="V146" i="7"/>
  <c r="V148" i="7"/>
  <c r="V149" i="7"/>
  <c r="V150" i="7"/>
  <c r="V151" i="7"/>
  <c r="V152" i="7"/>
  <c r="V153" i="7"/>
  <c r="V155" i="7"/>
  <c r="V157" i="7"/>
  <c r="V158" i="7"/>
  <c r="V159" i="7"/>
  <c r="V160" i="7"/>
  <c r="V161" i="7"/>
  <c r="V162" i="7"/>
  <c r="V164" i="7"/>
  <c r="V166" i="7"/>
  <c r="V167" i="7"/>
  <c r="V168" i="7"/>
  <c r="V169" i="7"/>
  <c r="V170" i="7"/>
  <c r="V173" i="7"/>
  <c r="V174" i="7"/>
  <c r="V175" i="7"/>
  <c r="V176" i="7"/>
  <c r="V177" i="7"/>
  <c r="V180" i="7"/>
  <c r="V181" i="7"/>
  <c r="V182" i="7"/>
  <c r="V183" i="7"/>
  <c r="V171" i="7"/>
  <c r="V184" i="7"/>
  <c r="U8" i="7"/>
  <c r="U9" i="7"/>
  <c r="U10" i="7"/>
  <c r="U11" i="7"/>
  <c r="U12" i="7"/>
  <c r="U13" i="7"/>
  <c r="U14" i="7"/>
  <c r="U16" i="7"/>
  <c r="U17" i="7"/>
  <c r="U18" i="7"/>
  <c r="U19" i="7"/>
  <c r="U20" i="7"/>
  <c r="U21" i="7"/>
  <c r="U23" i="7"/>
  <c r="U24" i="7"/>
  <c r="U25" i="7"/>
  <c r="U26" i="7"/>
  <c r="U27" i="7"/>
  <c r="U28" i="7"/>
  <c r="U29" i="7"/>
  <c r="U32" i="7"/>
  <c r="U33" i="7"/>
  <c r="U34" i="7"/>
  <c r="U35" i="7"/>
  <c r="U36" i="7"/>
  <c r="U37" i="7"/>
  <c r="U38" i="7"/>
  <c r="U39" i="7"/>
  <c r="U40" i="7"/>
  <c r="U41" i="7"/>
  <c r="U42" i="7"/>
  <c r="U44" i="7"/>
  <c r="U45" i="7"/>
  <c r="U47" i="7"/>
  <c r="U48" i="7"/>
  <c r="U50" i="7"/>
  <c r="U51" i="7"/>
  <c r="U53" i="7"/>
  <c r="U54" i="7"/>
  <c r="U56" i="7"/>
  <c r="U57" i="7"/>
  <c r="U59" i="7"/>
  <c r="U60" i="7"/>
  <c r="U62" i="7"/>
  <c r="U63" i="7"/>
  <c r="U65" i="7"/>
  <c r="U66" i="7"/>
  <c r="U68" i="7"/>
  <c r="U69" i="7"/>
  <c r="U71" i="7"/>
  <c r="U72" i="7"/>
  <c r="U74" i="7"/>
  <c r="U76" i="7"/>
  <c r="U77" i="7"/>
  <c r="U78" i="7"/>
  <c r="U79" i="7"/>
  <c r="U80" i="7"/>
  <c r="U81" i="7"/>
  <c r="U83" i="7"/>
  <c r="U85" i="7"/>
  <c r="U86" i="7"/>
  <c r="U87" i="7"/>
  <c r="U88" i="7"/>
  <c r="U89" i="7"/>
  <c r="U90" i="7"/>
  <c r="U92" i="7"/>
  <c r="U94" i="7"/>
  <c r="U95" i="7"/>
  <c r="U96" i="7"/>
  <c r="U97" i="7"/>
  <c r="U98" i="7"/>
  <c r="U99" i="7"/>
  <c r="U101" i="7"/>
  <c r="U103" i="7"/>
  <c r="U104" i="7"/>
  <c r="U105" i="7"/>
  <c r="U106" i="7"/>
  <c r="U107" i="7"/>
  <c r="U108" i="7"/>
  <c r="U110" i="7"/>
  <c r="U112" i="7"/>
  <c r="U113" i="7"/>
  <c r="U114" i="7"/>
  <c r="U115" i="7"/>
  <c r="U116" i="7"/>
  <c r="U117" i="7"/>
  <c r="U119" i="7"/>
  <c r="U121" i="7"/>
  <c r="U122" i="7"/>
  <c r="U123" i="7"/>
  <c r="U124" i="7"/>
  <c r="U125" i="7"/>
  <c r="U126" i="7"/>
  <c r="U128" i="7"/>
  <c r="U130" i="7"/>
  <c r="U131" i="7"/>
  <c r="U132" i="7"/>
  <c r="U133" i="7"/>
  <c r="U134" i="7"/>
  <c r="U135" i="7"/>
  <c r="U137" i="7"/>
  <c r="U139" i="7"/>
  <c r="U140" i="7"/>
  <c r="U141" i="7"/>
  <c r="U142" i="7"/>
  <c r="U143" i="7"/>
  <c r="U144" i="7"/>
  <c r="U146" i="7"/>
  <c r="U148" i="7"/>
  <c r="U149" i="7"/>
  <c r="U150" i="7"/>
  <c r="U151" i="7"/>
  <c r="U152" i="7"/>
  <c r="U153" i="7"/>
  <c r="U155" i="7"/>
  <c r="U157" i="7"/>
  <c r="U158" i="7"/>
  <c r="U159" i="7"/>
  <c r="U160" i="7"/>
  <c r="U161" i="7"/>
  <c r="U162" i="7"/>
  <c r="U164" i="7"/>
  <c r="U166" i="7"/>
  <c r="U167" i="7"/>
  <c r="U168" i="7"/>
  <c r="U169" i="7"/>
  <c r="U170" i="7"/>
  <c r="U173" i="7"/>
  <c r="U174" i="7"/>
  <c r="U175" i="7"/>
  <c r="U176" i="7"/>
  <c r="U177" i="7"/>
  <c r="U180" i="7"/>
  <c r="U181" i="7"/>
  <c r="U182" i="7"/>
  <c r="U183" i="7"/>
  <c r="U178" i="7"/>
  <c r="U179" i="7"/>
  <c r="U171" i="7"/>
  <c r="T8" i="7"/>
  <c r="T9" i="7"/>
  <c r="T10" i="7"/>
  <c r="T11" i="7"/>
  <c r="T12" i="7"/>
  <c r="T13" i="7"/>
  <c r="T14" i="7"/>
  <c r="T16" i="7"/>
  <c r="T17" i="7"/>
  <c r="T18" i="7"/>
  <c r="T19" i="7"/>
  <c r="T20" i="7"/>
  <c r="T21" i="7"/>
  <c r="T23" i="7"/>
  <c r="T24" i="7"/>
  <c r="T25" i="7"/>
  <c r="T26" i="7"/>
  <c r="T27" i="7"/>
  <c r="T28" i="7"/>
  <c r="T29" i="7"/>
  <c r="T32" i="7"/>
  <c r="T33" i="7"/>
  <c r="T34" i="7"/>
  <c r="T35" i="7"/>
  <c r="T36" i="7"/>
  <c r="T37" i="7"/>
  <c r="T38" i="7"/>
  <c r="T39" i="7"/>
  <c r="T40" i="7"/>
  <c r="T41" i="7"/>
  <c r="T42" i="7"/>
  <c r="T44" i="7"/>
  <c r="T45" i="7"/>
  <c r="T47" i="7"/>
  <c r="T48" i="7"/>
  <c r="T50" i="7"/>
  <c r="T51" i="7"/>
  <c r="T53" i="7"/>
  <c r="T54" i="7"/>
  <c r="T56" i="7"/>
  <c r="T57" i="7"/>
  <c r="T59" i="7"/>
  <c r="T60" i="7"/>
  <c r="T62" i="7"/>
  <c r="T63" i="7"/>
  <c r="T65" i="7"/>
  <c r="T66" i="7"/>
  <c r="T68" i="7"/>
  <c r="T69" i="7"/>
  <c r="T71" i="7"/>
  <c r="T72" i="7"/>
  <c r="T74" i="7"/>
  <c r="T76" i="7"/>
  <c r="T77" i="7"/>
  <c r="T78" i="7"/>
  <c r="T79" i="7"/>
  <c r="T80" i="7"/>
  <c r="T81" i="7"/>
  <c r="T83" i="7"/>
  <c r="T85" i="7"/>
  <c r="T86" i="7"/>
  <c r="T87" i="7"/>
  <c r="T88" i="7"/>
  <c r="T89" i="7"/>
  <c r="T90" i="7"/>
  <c r="T92" i="7"/>
  <c r="T94" i="7"/>
  <c r="T95" i="7"/>
  <c r="T96" i="7"/>
  <c r="T97" i="7"/>
  <c r="T98" i="7"/>
  <c r="T99" i="7"/>
  <c r="T101" i="7"/>
  <c r="T103" i="7"/>
  <c r="T104" i="7"/>
  <c r="T105" i="7"/>
  <c r="T106" i="7"/>
  <c r="T107" i="7"/>
  <c r="T108" i="7"/>
  <c r="T110" i="7"/>
  <c r="T112" i="7"/>
  <c r="T113" i="7"/>
  <c r="T114" i="7"/>
  <c r="T115" i="7"/>
  <c r="T116" i="7"/>
  <c r="T117" i="7"/>
  <c r="T119" i="7"/>
  <c r="T121" i="7"/>
  <c r="T122" i="7"/>
  <c r="T123" i="7"/>
  <c r="T124" i="7"/>
  <c r="T125" i="7"/>
  <c r="T126" i="7"/>
  <c r="T128" i="7"/>
  <c r="T130" i="7"/>
  <c r="T131" i="7"/>
  <c r="T132" i="7"/>
  <c r="T133" i="7"/>
  <c r="T134" i="7"/>
  <c r="T135" i="7"/>
  <c r="T137" i="7"/>
  <c r="T139" i="7"/>
  <c r="T140" i="7"/>
  <c r="T141" i="7"/>
  <c r="T142" i="7"/>
  <c r="T143" i="7"/>
  <c r="T144" i="7"/>
  <c r="T146" i="7"/>
  <c r="T148" i="7"/>
  <c r="T149" i="7"/>
  <c r="T150" i="7"/>
  <c r="T151" i="7"/>
  <c r="T152" i="7"/>
  <c r="T153" i="7"/>
  <c r="T155" i="7"/>
  <c r="T157" i="7"/>
  <c r="T158" i="7"/>
  <c r="T159" i="7"/>
  <c r="T160" i="7"/>
  <c r="T161" i="7"/>
  <c r="T162" i="7"/>
  <c r="T164" i="7"/>
  <c r="T166" i="7"/>
  <c r="T167" i="7"/>
  <c r="T168" i="7"/>
  <c r="T169" i="7"/>
  <c r="T170" i="7"/>
  <c r="T174" i="7"/>
  <c r="T175" i="7"/>
  <c r="T176" i="7"/>
  <c r="T177" i="7"/>
  <c r="T180" i="7"/>
  <c r="T181" i="7"/>
  <c r="T182" i="7"/>
  <c r="T183" i="7"/>
  <c r="T178" i="7"/>
  <c r="T179" i="7"/>
  <c r="T171" i="7"/>
  <c r="T184" i="7"/>
  <c r="J203" i="8"/>
  <c r="I203" i="8"/>
  <c r="R175" i="7"/>
  <c r="J177" i="7"/>
  <c r="E201" i="8"/>
  <c r="E202" i="8"/>
  <c r="J202" i="8" s="1"/>
  <c r="F201" i="8"/>
  <c r="F202" i="8"/>
  <c r="R171" i="7"/>
  <c r="BC10" i="4"/>
  <c r="BD10" i="4"/>
  <c r="BC9" i="4"/>
  <c r="BD9" i="4"/>
  <c r="BC8" i="4"/>
  <c r="BD8" i="4"/>
  <c r="BC7" i="4"/>
  <c r="R176" i="7"/>
  <c r="H202" i="8"/>
  <c r="H201" i="8"/>
  <c r="H173" i="7"/>
  <c r="K173" i="7"/>
  <c r="J173" i="7"/>
  <c r="R173" i="7"/>
  <c r="K8" i="4"/>
  <c r="K9" i="4"/>
  <c r="K10" i="4"/>
  <c r="K11" i="4"/>
  <c r="K12" i="4"/>
  <c r="H184" i="7"/>
  <c r="K184" i="7"/>
  <c r="J184" i="7"/>
  <c r="A177" i="7"/>
  <c r="R177" i="7"/>
  <c r="R183" i="7"/>
  <c r="R182" i="7"/>
  <c r="R181" i="7"/>
  <c r="E196" i="8"/>
  <c r="E197" i="8"/>
  <c r="E198" i="8"/>
  <c r="K168" i="7" s="1"/>
  <c r="J168" i="7" s="1"/>
  <c r="E199" i="8"/>
  <c r="E200" i="8"/>
  <c r="F196" i="8"/>
  <c r="F197" i="8"/>
  <c r="F198" i="8"/>
  <c r="F199" i="8"/>
  <c r="F200" i="8"/>
  <c r="R180" i="7"/>
  <c r="A164" i="7"/>
  <c r="A162" i="7"/>
  <c r="R162" i="7"/>
  <c r="R164" i="7"/>
  <c r="R166" i="7"/>
  <c r="R167" i="7"/>
  <c r="R168" i="7"/>
  <c r="R169" i="7"/>
  <c r="R170" i="7"/>
  <c r="A155" i="7"/>
  <c r="A153" i="7"/>
  <c r="R153" i="7"/>
  <c r="R155" i="7"/>
  <c r="R157" i="7"/>
  <c r="R158" i="7"/>
  <c r="R159" i="7"/>
  <c r="R160" i="7"/>
  <c r="R161" i="7"/>
  <c r="A146" i="7"/>
  <c r="A144" i="7"/>
  <c r="R152" i="7"/>
  <c r="R151" i="7"/>
  <c r="R150" i="7"/>
  <c r="R149" i="7"/>
  <c r="R148" i="7"/>
  <c r="R146" i="7"/>
  <c r="R144" i="7"/>
  <c r="A137" i="7"/>
  <c r="A135" i="7"/>
  <c r="R135" i="7"/>
  <c r="R137" i="7"/>
  <c r="R139" i="7"/>
  <c r="R140" i="7"/>
  <c r="R141" i="7"/>
  <c r="R142" i="7"/>
  <c r="R143" i="7"/>
  <c r="A128" i="7"/>
  <c r="A126" i="7"/>
  <c r="R126" i="7"/>
  <c r="R128" i="7"/>
  <c r="R130" i="7"/>
  <c r="R131" i="7"/>
  <c r="R132" i="7"/>
  <c r="R133" i="7"/>
  <c r="R134" i="7"/>
  <c r="A119" i="7"/>
  <c r="A117" i="7"/>
  <c r="R117" i="7"/>
  <c r="R119" i="7"/>
  <c r="R121" i="7"/>
  <c r="R122" i="7"/>
  <c r="R123" i="7"/>
  <c r="R124" i="7"/>
  <c r="R125" i="7"/>
  <c r="A110" i="7"/>
  <c r="A108" i="7"/>
  <c r="R108" i="7"/>
  <c r="R110" i="7"/>
  <c r="R112" i="7"/>
  <c r="R113" i="7"/>
  <c r="R114" i="7"/>
  <c r="R115" i="7"/>
  <c r="R116" i="7"/>
  <c r="J196" i="8"/>
  <c r="H200" i="8"/>
  <c r="I196" i="8"/>
  <c r="G197" i="8"/>
  <c r="G199" i="8"/>
  <c r="A101" i="7"/>
  <c r="A99" i="7"/>
  <c r="R99" i="7"/>
  <c r="R101" i="7"/>
  <c r="R103" i="7"/>
  <c r="R104" i="7"/>
  <c r="R105" i="7"/>
  <c r="R106" i="7"/>
  <c r="R107" i="7"/>
  <c r="A92" i="7"/>
  <c r="A90" i="7"/>
  <c r="R90" i="7"/>
  <c r="R92" i="7"/>
  <c r="R94" i="7"/>
  <c r="R95" i="7"/>
  <c r="R96" i="7"/>
  <c r="R97" i="7"/>
  <c r="R98" i="7"/>
  <c r="A83" i="7"/>
  <c r="A81" i="7"/>
  <c r="R85" i="7"/>
  <c r="R86" i="7"/>
  <c r="R87" i="7"/>
  <c r="R88" i="7"/>
  <c r="R89" i="7"/>
  <c r="R81" i="7"/>
  <c r="R80" i="7"/>
  <c r="R79" i="7"/>
  <c r="R83" i="7"/>
  <c r="R78" i="7"/>
  <c r="R77" i="7"/>
  <c r="E130" i="8"/>
  <c r="E131" i="8"/>
  <c r="E132" i="8"/>
  <c r="E133" i="8"/>
  <c r="H133" i="8" s="1"/>
  <c r="E134" i="8"/>
  <c r="E135" i="8"/>
  <c r="E136" i="8"/>
  <c r="E137" i="8"/>
  <c r="J137" i="8" s="1"/>
  <c r="E138" i="8"/>
  <c r="E139" i="8"/>
  <c r="I139" i="8"/>
  <c r="E140" i="8"/>
  <c r="E141" i="8"/>
  <c r="I141" i="8" s="1"/>
  <c r="E142" i="8"/>
  <c r="E143" i="8"/>
  <c r="K166" i="7" s="1"/>
  <c r="J166" i="7" s="1"/>
  <c r="E144" i="8"/>
  <c r="E145" i="8"/>
  <c r="E146" i="8"/>
  <c r="E147" i="8"/>
  <c r="E148" i="8"/>
  <c r="E149" i="8"/>
  <c r="E150" i="8"/>
  <c r="E151" i="8"/>
  <c r="E152" i="8"/>
  <c r="E153" i="8"/>
  <c r="K156" i="7"/>
  <c r="J156" i="7"/>
  <c r="E154" i="8"/>
  <c r="E155" i="8"/>
  <c r="J155" i="8" s="1"/>
  <c r="E156" i="8"/>
  <c r="E157" i="8"/>
  <c r="J157" i="8" s="1"/>
  <c r="E158" i="8"/>
  <c r="H158" i="8"/>
  <c r="E159" i="8"/>
  <c r="E160" i="8"/>
  <c r="E161" i="8"/>
  <c r="E162" i="8"/>
  <c r="E163" i="8"/>
  <c r="H163" i="8" s="1"/>
  <c r="E164" i="8"/>
  <c r="E165" i="8"/>
  <c r="E166" i="8"/>
  <c r="G166" i="8" s="1"/>
  <c r="I166" i="8"/>
  <c r="E167" i="8"/>
  <c r="E168" i="8"/>
  <c r="H168" i="8" s="1"/>
  <c r="E169" i="8"/>
  <c r="E170" i="8"/>
  <c r="I170" i="8" s="1"/>
  <c r="E171" i="8"/>
  <c r="E172" i="8"/>
  <c r="E173" i="8"/>
  <c r="E174" i="8"/>
  <c r="H174" i="8"/>
  <c r="E175" i="8"/>
  <c r="I175" i="8" s="1"/>
  <c r="E176" i="8"/>
  <c r="E177" i="8"/>
  <c r="H177" i="8" s="1"/>
  <c r="E178" i="8"/>
  <c r="J178" i="8" s="1"/>
  <c r="E179" i="8"/>
  <c r="K97" i="7" s="1"/>
  <c r="J97" i="7" s="1"/>
  <c r="H179" i="8"/>
  <c r="E180" i="8"/>
  <c r="H180" i="8" s="1"/>
  <c r="E181" i="8"/>
  <c r="I181" i="8" s="1"/>
  <c r="E182" i="8"/>
  <c r="E183" i="8"/>
  <c r="J183" i="8" s="1"/>
  <c r="H183" i="8"/>
  <c r="G183" i="8"/>
  <c r="K183" i="8" s="1"/>
  <c r="H133" i="7" s="1"/>
  <c r="E184" i="8"/>
  <c r="E185" i="8"/>
  <c r="I185" i="8" s="1"/>
  <c r="E186" i="8"/>
  <c r="H186" i="8" s="1"/>
  <c r="E187" i="8"/>
  <c r="K169" i="7" s="1"/>
  <c r="J169" i="7" s="1"/>
  <c r="E188" i="8"/>
  <c r="H188" i="8"/>
  <c r="E189" i="8"/>
  <c r="E190" i="8"/>
  <c r="E191" i="8"/>
  <c r="J191" i="8" s="1"/>
  <c r="E192" i="8"/>
  <c r="H192" i="8" s="1"/>
  <c r="E193" i="8"/>
  <c r="E194" i="8"/>
  <c r="J194" i="8" s="1"/>
  <c r="E195" i="8"/>
  <c r="I195" i="8" s="1"/>
  <c r="H195"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G131" i="8"/>
  <c r="G136" i="8"/>
  <c r="H138" i="8"/>
  <c r="G139" i="8"/>
  <c r="G141" i="8"/>
  <c r="G142" i="8"/>
  <c r="G145" i="8"/>
  <c r="G146" i="8"/>
  <c r="G149" i="8"/>
  <c r="G150" i="8"/>
  <c r="G153" i="8"/>
  <c r="G154" i="8"/>
  <c r="G155" i="8"/>
  <c r="G157" i="8"/>
  <c r="H157" i="8"/>
  <c r="K157" i="8" s="1"/>
  <c r="H95" i="7" s="1"/>
  <c r="G158" i="8"/>
  <c r="G161" i="8"/>
  <c r="G168" i="8"/>
  <c r="G170" i="8"/>
  <c r="G173" i="8"/>
  <c r="G174" i="8"/>
  <c r="J174" i="8"/>
  <c r="G175" i="8"/>
  <c r="G178" i="8"/>
  <c r="K178" i="8" s="1"/>
  <c r="H88" i="7" s="1"/>
  <c r="H178" i="8"/>
  <c r="G179" i="8"/>
  <c r="G180" i="8"/>
  <c r="K180" i="8" s="1"/>
  <c r="H106" i="7" s="1"/>
  <c r="G181" i="8"/>
  <c r="G185" i="8"/>
  <c r="G186" i="8"/>
  <c r="G188" i="8"/>
  <c r="G192" i="8"/>
  <c r="G193" i="8"/>
  <c r="H193" i="8"/>
  <c r="H146" i="8"/>
  <c r="I182" i="8"/>
  <c r="A74" i="7"/>
  <c r="R76" i="7"/>
  <c r="A72" i="7"/>
  <c r="R72" i="7"/>
  <c r="R74" i="7"/>
  <c r="H149" i="8"/>
  <c r="K120" i="7"/>
  <c r="J120" i="7" s="1"/>
  <c r="I131" i="8"/>
  <c r="K154" i="7"/>
  <c r="J154" i="7" s="1"/>
  <c r="I154" i="8"/>
  <c r="K165" i="7"/>
  <c r="J165" i="7" s="1"/>
  <c r="H150" i="8"/>
  <c r="K129" i="7"/>
  <c r="J129" i="7"/>
  <c r="J146" i="8"/>
  <c r="K93" i="7"/>
  <c r="J93" i="7"/>
  <c r="J158" i="8"/>
  <c r="I142" i="8"/>
  <c r="J130" i="8"/>
  <c r="I158" i="8"/>
  <c r="J170" i="8"/>
  <c r="J150" i="8"/>
  <c r="I174" i="8"/>
  <c r="I150" i="8"/>
  <c r="H154" i="8"/>
  <c r="J154" i="8"/>
  <c r="I178" i="8"/>
  <c r="J166" i="8"/>
  <c r="I146" i="8"/>
  <c r="H170" i="8"/>
  <c r="J139" i="8"/>
  <c r="K164" i="7"/>
  <c r="J164" i="7" s="1"/>
  <c r="J175" i="8"/>
  <c r="I179" i="8"/>
  <c r="I155" i="8"/>
  <c r="I183" i="8"/>
  <c r="K150" i="7"/>
  <c r="J150" i="7" s="1"/>
  <c r="K114" i="7"/>
  <c r="J114" i="7" s="1"/>
  <c r="K78" i="7"/>
  <c r="J78" i="7" s="1"/>
  <c r="K106" i="7"/>
  <c r="J106" i="7" s="1"/>
  <c r="K98" i="7"/>
  <c r="J98" i="7" s="1"/>
  <c r="K158" i="7"/>
  <c r="J158" i="7" s="1"/>
  <c r="K146" i="7"/>
  <c r="J146" i="7" s="1"/>
  <c r="K159" i="7"/>
  <c r="J159" i="7" s="1"/>
  <c r="K151" i="7"/>
  <c r="J151" i="7"/>
  <c r="K115" i="7"/>
  <c r="J115" i="7" s="1"/>
  <c r="K143" i="7"/>
  <c r="J143" i="7" s="1"/>
  <c r="K131" i="7"/>
  <c r="J131" i="7" s="1"/>
  <c r="K95" i="7"/>
  <c r="J95" i="7" s="1"/>
  <c r="K155" i="7"/>
  <c r="J155" i="7" s="1"/>
  <c r="K119" i="7"/>
  <c r="J119" i="7" s="1"/>
  <c r="J195" i="8"/>
  <c r="J181" i="8"/>
  <c r="J131" i="8"/>
  <c r="I157" i="8"/>
  <c r="H141" i="8"/>
  <c r="H181" i="8"/>
  <c r="J149" i="8"/>
  <c r="K149" i="8" s="1"/>
  <c r="I193" i="8"/>
  <c r="H176" i="8"/>
  <c r="H164" i="8"/>
  <c r="K133" i="7"/>
  <c r="J133" i="7" s="1"/>
  <c r="H152" i="8"/>
  <c r="K125" i="7"/>
  <c r="J125" i="7" s="1"/>
  <c r="H144" i="8"/>
  <c r="J141" i="8"/>
  <c r="I149" i="8"/>
  <c r="H185" i="8"/>
  <c r="H161" i="8"/>
  <c r="H153" i="8"/>
  <c r="H145" i="8"/>
  <c r="H175" i="8"/>
  <c r="K132" i="7"/>
  <c r="J132" i="7" s="1"/>
  <c r="K124" i="7"/>
  <c r="J124" i="7" s="1"/>
  <c r="K88" i="7"/>
  <c r="J88" i="7"/>
  <c r="H155" i="8"/>
  <c r="K155" i="8" s="1"/>
  <c r="H77" i="7" s="1"/>
  <c r="K152" i="7"/>
  <c r="J152" i="7" s="1"/>
  <c r="K116" i="7"/>
  <c r="J116" i="7" s="1"/>
  <c r="K80" i="7"/>
  <c r="J80" i="7" s="1"/>
  <c r="H139" i="8"/>
  <c r="K104" i="7"/>
  <c r="J104" i="7"/>
  <c r="H131" i="8"/>
  <c r="K128" i="7"/>
  <c r="J128" i="7" s="1"/>
  <c r="J185" i="8"/>
  <c r="J153" i="8"/>
  <c r="I177" i="8"/>
  <c r="I161" i="8"/>
  <c r="H156" i="8"/>
  <c r="K161" i="7"/>
  <c r="J161" i="7" s="1"/>
  <c r="K89" i="7"/>
  <c r="J89" i="7" s="1"/>
  <c r="K113" i="7"/>
  <c r="J113" i="7" s="1"/>
  <c r="H136" i="8"/>
  <c r="J136" i="8"/>
  <c r="K77" i="7"/>
  <c r="J77" i="7" s="1"/>
  <c r="J161" i="8"/>
  <c r="I153" i="8"/>
  <c r="I192" i="8"/>
  <c r="I188" i="8"/>
  <c r="I180" i="8"/>
  <c r="I176" i="8"/>
  <c r="I168" i="8"/>
  <c r="I160" i="8"/>
  <c r="I144" i="8"/>
  <c r="I136" i="8"/>
  <c r="J192" i="8"/>
  <c r="J188" i="8"/>
  <c r="K188" i="8"/>
  <c r="H78" i="7" s="1"/>
  <c r="J180" i="8"/>
  <c r="J168" i="8"/>
  <c r="K168" i="8" s="1"/>
  <c r="H98" i="7" s="1"/>
  <c r="J164" i="8"/>
  <c r="J144" i="8"/>
  <c r="J140" i="8"/>
  <c r="J132" i="8"/>
  <c r="B19" i="9"/>
  <c r="H22" i="9"/>
  <c r="K139" i="8"/>
  <c r="D8" i="11"/>
  <c r="K8" i="11"/>
  <c r="L8" i="11"/>
  <c r="K9" i="11"/>
  <c r="L9" i="11"/>
  <c r="H9" i="11"/>
  <c r="I9" i="11"/>
  <c r="H8" i="11"/>
  <c r="I8" i="11"/>
  <c r="E115" i="8"/>
  <c r="E116" i="8"/>
  <c r="E117" i="8"/>
  <c r="I117" i="8" s="1"/>
  <c r="E118" i="8"/>
  <c r="E119" i="8"/>
  <c r="G119" i="8" s="1"/>
  <c r="E120" i="8"/>
  <c r="E121" i="8"/>
  <c r="I121" i="8" s="1"/>
  <c r="E122" i="8"/>
  <c r="G122" i="8" s="1"/>
  <c r="E123" i="8"/>
  <c r="E124" i="8"/>
  <c r="J124" i="8"/>
  <c r="E125" i="8"/>
  <c r="E126" i="8"/>
  <c r="E127" i="8"/>
  <c r="E128" i="8"/>
  <c r="J128" i="8" s="1"/>
  <c r="E129" i="8"/>
  <c r="F115" i="8"/>
  <c r="F116" i="8"/>
  <c r="F117" i="8"/>
  <c r="F118" i="8"/>
  <c r="F119" i="8"/>
  <c r="F120" i="8"/>
  <c r="F121" i="8"/>
  <c r="F122" i="8"/>
  <c r="F123" i="8"/>
  <c r="F124" i="8"/>
  <c r="F125" i="8"/>
  <c r="F126" i="8"/>
  <c r="F127" i="8"/>
  <c r="F128" i="8"/>
  <c r="F129" i="8"/>
  <c r="R37" i="7"/>
  <c r="R38" i="7"/>
  <c r="R39" i="7"/>
  <c r="E108" i="8"/>
  <c r="E109" i="8"/>
  <c r="E110" i="8"/>
  <c r="H110" i="8" s="1"/>
  <c r="E111" i="8"/>
  <c r="J111" i="8" s="1"/>
  <c r="E112" i="8"/>
  <c r="E113" i="8"/>
  <c r="K71" i="7" s="1"/>
  <c r="J71" i="7" s="1"/>
  <c r="E114" i="8"/>
  <c r="F108" i="8"/>
  <c r="F109" i="8"/>
  <c r="F110" i="8"/>
  <c r="F111" i="8"/>
  <c r="F112" i="8"/>
  <c r="F113" i="8"/>
  <c r="F114" i="8"/>
  <c r="AP7" i="4"/>
  <c r="AN4" i="4"/>
  <c r="E104" i="8"/>
  <c r="H104" i="8" s="1"/>
  <c r="E105" i="8"/>
  <c r="E106" i="8"/>
  <c r="E107" i="8"/>
  <c r="J107" i="8" s="1"/>
  <c r="F104" i="8"/>
  <c r="F105" i="8"/>
  <c r="F106" i="8"/>
  <c r="F107" i="8"/>
  <c r="G104" i="8"/>
  <c r="H106" i="8"/>
  <c r="I104" i="8"/>
  <c r="I106" i="8"/>
  <c r="J104" i="8"/>
  <c r="R17" i="7"/>
  <c r="R18" i="7"/>
  <c r="R19" i="7"/>
  <c r="E101" i="8"/>
  <c r="E102" i="8"/>
  <c r="I102" i="8"/>
  <c r="E103" i="8"/>
  <c r="K41" i="7" s="1"/>
  <c r="F101" i="8"/>
  <c r="F102" i="8"/>
  <c r="F103" i="8"/>
  <c r="G125" i="8"/>
  <c r="K100" i="7"/>
  <c r="J100" i="7"/>
  <c r="J102" i="8"/>
  <c r="K70" i="7"/>
  <c r="J70" i="7" s="1"/>
  <c r="K91" i="7"/>
  <c r="J91" i="7" s="1"/>
  <c r="G127" i="8"/>
  <c r="K118" i="7"/>
  <c r="J118" i="7"/>
  <c r="H119" i="8"/>
  <c r="K99" i="7"/>
  <c r="J99" i="7"/>
  <c r="K162" i="7"/>
  <c r="J162" i="7" s="1"/>
  <c r="K90" i="7"/>
  <c r="J90" i="7" s="1"/>
  <c r="J112" i="8"/>
  <c r="K153" i="7"/>
  <c r="J153" i="7" s="1"/>
  <c r="G108" i="8"/>
  <c r="K117" i="7"/>
  <c r="J117" i="7" s="1"/>
  <c r="K130" i="7"/>
  <c r="J130" i="7" s="1"/>
  <c r="I124" i="8"/>
  <c r="K83" i="7"/>
  <c r="J83" i="7" s="1"/>
  <c r="K148" i="7"/>
  <c r="J148" i="7" s="1"/>
  <c r="H118" i="8"/>
  <c r="K112" i="7"/>
  <c r="J112" i="7" s="1"/>
  <c r="J109" i="8"/>
  <c r="I120" i="8"/>
  <c r="K110" i="7"/>
  <c r="J110" i="7" s="1"/>
  <c r="G121" i="8"/>
  <c r="G117" i="8"/>
  <c r="K103" i="7"/>
  <c r="J103" i="7" s="1"/>
  <c r="I116" i="8"/>
  <c r="H127" i="8"/>
  <c r="K92" i="7"/>
  <c r="J92" i="7" s="1"/>
  <c r="K157" i="7"/>
  <c r="J157" i="7" s="1"/>
  <c r="I119" i="8"/>
  <c r="K121" i="7"/>
  <c r="J121" i="7" s="1"/>
  <c r="H115" i="8"/>
  <c r="I118" i="8"/>
  <c r="H112" i="8"/>
  <c r="G118" i="8"/>
  <c r="G112" i="8"/>
  <c r="I112" i="8"/>
  <c r="J118" i="8"/>
  <c r="I125" i="8"/>
  <c r="H126" i="8"/>
  <c r="J127" i="8"/>
  <c r="J119" i="8"/>
  <c r="I127" i="8"/>
  <c r="G115" i="8"/>
  <c r="A39" i="7"/>
  <c r="A38" i="7"/>
  <c r="A37" i="7"/>
  <c r="I111" i="8"/>
  <c r="H109" i="8"/>
  <c r="G111" i="8"/>
  <c r="H111" i="8"/>
  <c r="H124" i="8"/>
  <c r="J125" i="8"/>
  <c r="J121" i="8"/>
  <c r="J117" i="8"/>
  <c r="J108" i="8"/>
  <c r="H108" i="8"/>
  <c r="H125" i="8"/>
  <c r="H117" i="8"/>
  <c r="G128" i="8"/>
  <c r="G124" i="8"/>
  <c r="K124" i="8" s="1"/>
  <c r="H90" i="7" s="1"/>
  <c r="I108" i="8"/>
  <c r="I109" i="8"/>
  <c r="G113" i="8"/>
  <c r="G109" i="8"/>
  <c r="H102" i="8"/>
  <c r="G102" i="8"/>
  <c r="K102" i="8" s="1"/>
  <c r="H70" i="7" s="1"/>
  <c r="I103" i="8"/>
  <c r="E92" i="8"/>
  <c r="G92" i="8" s="1"/>
  <c r="E93" i="8"/>
  <c r="I93" i="8" s="1"/>
  <c r="E94" i="8"/>
  <c r="E95" i="8"/>
  <c r="E96" i="8"/>
  <c r="E97" i="8"/>
  <c r="K55" i="7" s="1"/>
  <c r="J55" i="7" s="1"/>
  <c r="E98" i="8"/>
  <c r="K57" i="7" s="1"/>
  <c r="J57" i="7" s="1"/>
  <c r="E99" i="8"/>
  <c r="E100" i="8"/>
  <c r="J100" i="8" s="1"/>
  <c r="F92" i="8"/>
  <c r="F93" i="8"/>
  <c r="F94" i="8"/>
  <c r="F95" i="8"/>
  <c r="F96" i="8"/>
  <c r="F97" i="8"/>
  <c r="F98" i="8"/>
  <c r="F99" i="8"/>
  <c r="F100" i="8"/>
  <c r="R13" i="7"/>
  <c r="AM7" i="4"/>
  <c r="R7" i="4"/>
  <c r="G94" i="8"/>
  <c r="H93" i="8"/>
  <c r="H95" i="8"/>
  <c r="K117" i="8"/>
  <c r="I98" i="8"/>
  <c r="G96" i="8"/>
  <c r="H96" i="8"/>
  <c r="H92" i="8"/>
  <c r="J99" i="8"/>
  <c r="J93" i="8"/>
  <c r="K93" i="8" s="1"/>
  <c r="G93" i="8"/>
  <c r="B15" i="5"/>
  <c r="G15" i="5"/>
  <c r="L15" i="5"/>
  <c r="M15" i="5" s="1"/>
  <c r="B6" i="5"/>
  <c r="B7" i="5"/>
  <c r="B8" i="5"/>
  <c r="A115" i="7" s="1"/>
  <c r="B21" i="5"/>
  <c r="B22" i="5"/>
  <c r="B23" i="5"/>
  <c r="B9" i="5"/>
  <c r="B17" i="5"/>
  <c r="B12" i="5"/>
  <c r="B14" i="5"/>
  <c r="B20" i="5"/>
  <c r="B16" i="5"/>
  <c r="B11" i="5"/>
  <c r="B13" i="5"/>
  <c r="B18" i="5"/>
  <c r="B19" i="5"/>
  <c r="Z9" i="4"/>
  <c r="H130" i="7"/>
  <c r="A161" i="7"/>
  <c r="B49" i="9"/>
  <c r="B48" i="9"/>
  <c r="G6" i="5"/>
  <c r="G7" i="5"/>
  <c r="G8" i="5"/>
  <c r="G21" i="5"/>
  <c r="G22" i="5"/>
  <c r="G23" i="5"/>
  <c r="G9" i="5"/>
  <c r="G17" i="5"/>
  <c r="G12" i="5"/>
  <c r="G14" i="5"/>
  <c r="G20" i="5"/>
  <c r="G16" i="5"/>
  <c r="G18" i="5"/>
  <c r="G11" i="5"/>
  <c r="G13" i="5"/>
  <c r="G19" i="5"/>
  <c r="AV7" i="4"/>
  <c r="AV8" i="4"/>
  <c r="AV9" i="4"/>
  <c r="AV10" i="4"/>
  <c r="AV11" i="4"/>
  <c r="AV12" i="4"/>
  <c r="AV13" i="4"/>
  <c r="AV14" i="4"/>
  <c r="AV15" i="4"/>
  <c r="AV16" i="4"/>
  <c r="E90" i="8"/>
  <c r="H90" i="8" s="1"/>
  <c r="E91" i="8"/>
  <c r="F90" i="8"/>
  <c r="F91" i="8"/>
  <c r="A41" i="7"/>
  <c r="R41" i="7"/>
  <c r="A71" i="7"/>
  <c r="A68" i="7"/>
  <c r="A65" i="7"/>
  <c r="A62" i="7"/>
  <c r="A59" i="7"/>
  <c r="A56" i="7"/>
  <c r="A53" i="7"/>
  <c r="A50" i="7"/>
  <c r="A47" i="7"/>
  <c r="A44" i="7"/>
  <c r="R59" i="7"/>
  <c r="R62" i="7"/>
  <c r="R65" i="7"/>
  <c r="R68" i="7"/>
  <c r="R71" i="7"/>
  <c r="E81" i="8"/>
  <c r="E82" i="8"/>
  <c r="G82" i="8" s="1"/>
  <c r="E83" i="8"/>
  <c r="I83" i="8" s="1"/>
  <c r="E84" i="8"/>
  <c r="E85" i="8"/>
  <c r="J85" i="8" s="1"/>
  <c r="E86" i="8"/>
  <c r="E87" i="8"/>
  <c r="E88" i="8"/>
  <c r="J88" i="8" s="1"/>
  <c r="E89" i="8"/>
  <c r="G89" i="8" s="1"/>
  <c r="H89" i="8"/>
  <c r="J89" i="8"/>
  <c r="F81" i="8"/>
  <c r="F82" i="8"/>
  <c r="F83" i="8"/>
  <c r="F84" i="8"/>
  <c r="F85" i="8"/>
  <c r="F86" i="8"/>
  <c r="F87" i="8"/>
  <c r="F88" i="8"/>
  <c r="F89" i="8"/>
  <c r="R56" i="7"/>
  <c r="R53" i="7"/>
  <c r="R50" i="7"/>
  <c r="R47" i="7"/>
  <c r="A69" i="7"/>
  <c r="A66" i="7"/>
  <c r="A63" i="7"/>
  <c r="A60" i="7"/>
  <c r="A57" i="7"/>
  <c r="A54" i="7"/>
  <c r="A51" i="7"/>
  <c r="A48" i="7"/>
  <c r="A45" i="7"/>
  <c r="A42" i="7"/>
  <c r="R51" i="7"/>
  <c r="R54" i="7"/>
  <c r="R57" i="7"/>
  <c r="R60" i="7"/>
  <c r="R63" i="7"/>
  <c r="R66" i="7"/>
  <c r="R69" i="7"/>
  <c r="R48" i="7"/>
  <c r="R45" i="7"/>
  <c r="E80" i="8"/>
  <c r="F80" i="8"/>
  <c r="E70" i="8"/>
  <c r="H70" i="8" s="1"/>
  <c r="E71" i="8"/>
  <c r="E72" i="8"/>
  <c r="H72" i="8" s="1"/>
  <c r="E73" i="8"/>
  <c r="E74" i="8"/>
  <c r="H74" i="8" s="1"/>
  <c r="E75" i="8"/>
  <c r="H75" i="8" s="1"/>
  <c r="E76" i="8"/>
  <c r="E77" i="8"/>
  <c r="G77" i="8" s="1"/>
  <c r="K77" i="8" s="1"/>
  <c r="E78" i="8"/>
  <c r="I78" i="8" s="1"/>
  <c r="E79" i="8"/>
  <c r="F70" i="8"/>
  <c r="F71" i="8"/>
  <c r="F72" i="8"/>
  <c r="F73" i="8"/>
  <c r="F74" i="8"/>
  <c r="F75" i="8"/>
  <c r="F76" i="8"/>
  <c r="F77" i="8"/>
  <c r="F78" i="8"/>
  <c r="F79" i="8"/>
  <c r="G72" i="8"/>
  <c r="G78" i="8"/>
  <c r="R44" i="7"/>
  <c r="R42" i="7"/>
  <c r="E69" i="8"/>
  <c r="K176" i="7" s="1"/>
  <c r="F69" i="8"/>
  <c r="A40" i="7"/>
  <c r="G76" i="8"/>
  <c r="G74" i="8"/>
  <c r="I91" i="8"/>
  <c r="G90" i="8"/>
  <c r="I90" i="8"/>
  <c r="I85" i="8"/>
  <c r="I89" i="8"/>
  <c r="G85" i="8"/>
  <c r="K85" i="8" s="1"/>
  <c r="I72" i="8"/>
  <c r="H85" i="8"/>
  <c r="K68" i="7"/>
  <c r="J68" i="7" s="1"/>
  <c r="I82" i="8"/>
  <c r="J90" i="8"/>
  <c r="K90" i="8" s="1"/>
  <c r="K69" i="7"/>
  <c r="J69" i="7" s="1"/>
  <c r="K53" i="7"/>
  <c r="J53" i="7" s="1"/>
  <c r="K65" i="7"/>
  <c r="J65" i="7" s="1"/>
  <c r="K40" i="7"/>
  <c r="J40" i="7" s="1"/>
  <c r="I88" i="8"/>
  <c r="J82" i="8"/>
  <c r="K59" i="7"/>
  <c r="J59" i="7" s="1"/>
  <c r="K47" i="7"/>
  <c r="J47" i="7" s="1"/>
  <c r="K56" i="7"/>
  <c r="J56" i="7" s="1"/>
  <c r="K44" i="7"/>
  <c r="J44" i="7" s="1"/>
  <c r="J70" i="8"/>
  <c r="H88" i="8"/>
  <c r="G88" i="8"/>
  <c r="J71" i="8"/>
  <c r="J74" i="8"/>
  <c r="K74" i="8"/>
  <c r="J69" i="8"/>
  <c r="J78" i="8"/>
  <c r="I74" i="8"/>
  <c r="I70" i="8"/>
  <c r="J72" i="8"/>
  <c r="K72" i="8" s="1"/>
  <c r="E68" i="8"/>
  <c r="K174" i="7" s="1"/>
  <c r="J174" i="7" s="1"/>
  <c r="K63" i="7"/>
  <c r="J63" i="7" s="1"/>
  <c r="F68" i="8"/>
  <c r="E67" i="8"/>
  <c r="J67" i="8" s="1"/>
  <c r="F67" i="8"/>
  <c r="R40" i="7"/>
  <c r="E54" i="8"/>
  <c r="I54" i="8" s="1"/>
  <c r="E55" i="8"/>
  <c r="G55" i="8" s="1"/>
  <c r="E56" i="8"/>
  <c r="G56" i="8" s="1"/>
  <c r="E57" i="8"/>
  <c r="E58" i="8"/>
  <c r="J58" i="8" s="1"/>
  <c r="G58" i="8"/>
  <c r="H58" i="8"/>
  <c r="E59" i="8"/>
  <c r="E60" i="8"/>
  <c r="G60" i="8" s="1"/>
  <c r="E61" i="8"/>
  <c r="J61" i="8" s="1"/>
  <c r="E62" i="8"/>
  <c r="G62" i="8" s="1"/>
  <c r="I62" i="8"/>
  <c r="E63" i="8"/>
  <c r="J63" i="8" s="1"/>
  <c r="E64" i="8"/>
  <c r="I64" i="8" s="1"/>
  <c r="E65" i="8"/>
  <c r="E66" i="8"/>
  <c r="J66" i="8"/>
  <c r="F54" i="8"/>
  <c r="F55" i="8"/>
  <c r="F56" i="8"/>
  <c r="F57" i="8"/>
  <c r="F58" i="8"/>
  <c r="F59" i="8"/>
  <c r="F60" i="8"/>
  <c r="F61" i="8"/>
  <c r="F62" i="8"/>
  <c r="F63" i="8"/>
  <c r="F64" i="8"/>
  <c r="F65" i="8"/>
  <c r="F66" i="8"/>
  <c r="R36" i="7"/>
  <c r="R35" i="7"/>
  <c r="R34" i="7"/>
  <c r="R33" i="7"/>
  <c r="J176" i="7"/>
  <c r="K82" i="8"/>
  <c r="K42" i="7"/>
  <c r="J42" i="7"/>
  <c r="K51" i="7"/>
  <c r="J51" i="7" s="1"/>
  <c r="K88" i="8"/>
  <c r="H59" i="8"/>
  <c r="H55" i="8"/>
  <c r="J55" i="8"/>
  <c r="J62" i="8"/>
  <c r="G61" i="8"/>
  <c r="G57" i="8"/>
  <c r="K57" i="8" s="1"/>
  <c r="H28" i="7" s="1"/>
  <c r="J57" i="8"/>
  <c r="H67" i="8"/>
  <c r="I65" i="8"/>
  <c r="G67" i="8"/>
  <c r="K67" i="8" s="1"/>
  <c r="H39" i="7" s="1"/>
  <c r="I61" i="8"/>
  <c r="I67" i="8"/>
  <c r="I57" i="8"/>
  <c r="I63" i="8"/>
  <c r="I55" i="8"/>
  <c r="G59" i="8"/>
  <c r="H61" i="8"/>
  <c r="H57" i="8"/>
  <c r="R8" i="7"/>
  <c r="R9" i="7"/>
  <c r="R10" i="7"/>
  <c r="R11" i="7"/>
  <c r="R12" i="7"/>
  <c r="R14" i="7"/>
  <c r="R16" i="7"/>
  <c r="R21" i="7"/>
  <c r="R20" i="7"/>
  <c r="R23" i="7"/>
  <c r="R24" i="7"/>
  <c r="R25" i="7"/>
  <c r="R26" i="7"/>
  <c r="R27" i="7"/>
  <c r="R28" i="7"/>
  <c r="R29" i="7"/>
  <c r="R32" i="7"/>
  <c r="Y14" i="9"/>
  <c r="Y15" i="9"/>
  <c r="Y16" i="9"/>
  <c r="Y17" i="9"/>
  <c r="Y18" i="9"/>
  <c r="Y19" i="9"/>
  <c r="Y20" i="9"/>
  <c r="Y21" i="9"/>
  <c r="Y22" i="9"/>
  <c r="X14" i="9"/>
  <c r="X15" i="9"/>
  <c r="X16" i="9"/>
  <c r="X17" i="9"/>
  <c r="X18" i="9"/>
  <c r="X19" i="9"/>
  <c r="X20" i="9"/>
  <c r="X21" i="9"/>
  <c r="X22" i="9"/>
  <c r="V14" i="9"/>
  <c r="V15" i="9"/>
  <c r="V16" i="9"/>
  <c r="V17" i="9"/>
  <c r="V18" i="9"/>
  <c r="V19" i="9"/>
  <c r="V20" i="9"/>
  <c r="V21" i="9"/>
  <c r="V22" i="9"/>
  <c r="Y13" i="9"/>
  <c r="X13" i="9"/>
  <c r="L6" i="5"/>
  <c r="L7" i="5"/>
  <c r="L8" i="5"/>
  <c r="M8" i="5"/>
  <c r="L21" i="5"/>
  <c r="M21" i="5" s="1"/>
  <c r="L22" i="5"/>
  <c r="M22" i="5"/>
  <c r="L23" i="5"/>
  <c r="M23" i="5" s="1"/>
  <c r="L9" i="5"/>
  <c r="L17" i="5"/>
  <c r="M17" i="5" s="1"/>
  <c r="L12" i="5"/>
  <c r="M12" i="5" s="1"/>
  <c r="L14" i="5"/>
  <c r="M14" i="5" s="1"/>
  <c r="L20" i="5"/>
  <c r="M20" i="5" s="1"/>
  <c r="L16" i="5"/>
  <c r="M16" i="5"/>
  <c r="L18" i="5"/>
  <c r="M18" i="5" s="1"/>
  <c r="L11" i="5"/>
  <c r="M11" i="5" s="1"/>
  <c r="L13" i="5"/>
  <c r="M13" i="5" s="1"/>
  <c r="L19" i="5"/>
  <c r="Z7" i="4"/>
  <c r="Z8" i="4"/>
  <c r="Z10" i="4"/>
  <c r="Z12" i="4"/>
  <c r="M7" i="5"/>
  <c r="H69" i="7"/>
  <c r="M9" i="5"/>
  <c r="M19" i="5"/>
  <c r="Z18" i="9"/>
  <c r="Z22" i="9"/>
  <c r="Z19" i="9"/>
  <c r="Z21" i="9"/>
  <c r="Z20" i="9"/>
  <c r="Z14" i="9"/>
  <c r="Z17" i="9"/>
  <c r="Z16" i="9"/>
  <c r="Z15" i="9"/>
  <c r="D78" i="4"/>
  <c r="D79" i="4" s="1"/>
  <c r="D9" i="11"/>
  <c r="F9" i="11" s="1"/>
  <c r="E9" i="11" s="1"/>
  <c r="B9" i="11" s="1"/>
  <c r="F8" i="11"/>
  <c r="E8" i="11" s="1"/>
  <c r="B8" i="11" s="1"/>
  <c r="E4" i="8"/>
  <c r="K172" i="7" s="1"/>
  <c r="E5" i="8"/>
  <c r="I5" i="8" s="1"/>
  <c r="E6" i="8"/>
  <c r="E7" i="8"/>
  <c r="E8" i="8"/>
  <c r="E9" i="8"/>
  <c r="K179" i="7" s="1"/>
  <c r="J179" i="7" s="1"/>
  <c r="E10" i="8"/>
  <c r="H10" i="8" s="1"/>
  <c r="E11" i="8"/>
  <c r="K181" i="7" s="1"/>
  <c r="J181" i="7" s="1"/>
  <c r="E12" i="8"/>
  <c r="K182" i="7"/>
  <c r="J182" i="7" s="1"/>
  <c r="E13" i="8"/>
  <c r="K183" i="7" s="1"/>
  <c r="J183" i="7" s="1"/>
  <c r="E14" i="8"/>
  <c r="G14" i="8" s="1"/>
  <c r="E15" i="8"/>
  <c r="G15" i="8" s="1"/>
  <c r="E16" i="8"/>
  <c r="E17" i="8"/>
  <c r="J17" i="8" s="1"/>
  <c r="E18" i="8"/>
  <c r="J18" i="8" s="1"/>
  <c r="E19" i="8"/>
  <c r="J19" i="8" s="1"/>
  <c r="E20" i="8"/>
  <c r="E21" i="8"/>
  <c r="G21" i="8" s="1"/>
  <c r="K21" i="8" s="1"/>
  <c r="E22" i="8"/>
  <c r="J22" i="8" s="1"/>
  <c r="E23" i="8"/>
  <c r="E24" i="8"/>
  <c r="E25" i="8"/>
  <c r="J25" i="8" s="1"/>
  <c r="E26" i="8"/>
  <c r="E27" i="8"/>
  <c r="E28" i="8"/>
  <c r="E29" i="8"/>
  <c r="I29" i="8" s="1"/>
  <c r="E30" i="8"/>
  <c r="E31" i="8"/>
  <c r="E32" i="8"/>
  <c r="E33" i="8"/>
  <c r="G33" i="8" s="1"/>
  <c r="K33" i="8" s="1"/>
  <c r="E34" i="8"/>
  <c r="E35" i="8"/>
  <c r="E36" i="8"/>
  <c r="E37" i="8"/>
  <c r="G37" i="8" s="1"/>
  <c r="K37" i="8" s="1"/>
  <c r="E38" i="8"/>
  <c r="E39" i="8"/>
  <c r="E40" i="8"/>
  <c r="K9" i="7" s="1"/>
  <c r="J9" i="7" s="1"/>
  <c r="E41" i="8"/>
  <c r="J41" i="8" s="1"/>
  <c r="E42" i="8"/>
  <c r="K11" i="7" s="1"/>
  <c r="J11" i="7" s="1"/>
  <c r="E43" i="8"/>
  <c r="J43" i="8" s="1"/>
  <c r="E44" i="8"/>
  <c r="E45" i="8"/>
  <c r="K15" i="7"/>
  <c r="J15" i="7" s="1"/>
  <c r="E46" i="8"/>
  <c r="E47" i="8"/>
  <c r="K17" i="7" s="1"/>
  <c r="J17" i="7" s="1"/>
  <c r="K34" i="7"/>
  <c r="J34" i="7" s="1"/>
  <c r="E48" i="8"/>
  <c r="J48" i="8" s="1"/>
  <c r="K35" i="7"/>
  <c r="J35" i="7" s="1"/>
  <c r="E49" i="8"/>
  <c r="K19" i="7"/>
  <c r="J19" i="7" s="1"/>
  <c r="E50" i="8"/>
  <c r="K20" i="7" s="1"/>
  <c r="J20" i="7" s="1"/>
  <c r="E51" i="8"/>
  <c r="H51" i="8" s="1"/>
  <c r="K51" i="8" s="1"/>
  <c r="H22" i="7" s="1"/>
  <c r="E52" i="8"/>
  <c r="K38" i="7"/>
  <c r="J38" i="7"/>
  <c r="E53" i="8"/>
  <c r="K39" i="7"/>
  <c r="J39" i="7" s="1"/>
  <c r="J172" i="7"/>
  <c r="K29" i="7"/>
  <c r="J29" i="7" s="1"/>
  <c r="K18" i="7"/>
  <c r="J18" i="7" s="1"/>
  <c r="K36" i="7"/>
  <c r="J36" i="7" s="1"/>
  <c r="K28" i="7"/>
  <c r="J28" i="7"/>
  <c r="K16" i="7"/>
  <c r="J16" i="7" s="1"/>
  <c r="K13" i="7"/>
  <c r="J13" i="7" s="1"/>
  <c r="K10" i="7"/>
  <c r="J10" i="7" s="1"/>
  <c r="K26" i="7"/>
  <c r="J26" i="7" s="1"/>
  <c r="K8" i="7"/>
  <c r="J8" i="7"/>
  <c r="K14" i="7"/>
  <c r="J14" i="7" s="1"/>
  <c r="G45" i="8"/>
  <c r="J45" i="8"/>
  <c r="J37" i="8"/>
  <c r="G13" i="8"/>
  <c r="K13" i="8" s="1"/>
  <c r="H183" i="7" s="1"/>
  <c r="J13" i="8"/>
  <c r="G9" i="8"/>
  <c r="J9" i="8"/>
  <c r="G48" i="8"/>
  <c r="G44" i="8"/>
  <c r="J44" i="8"/>
  <c r="J40" i="8"/>
  <c r="G20" i="8"/>
  <c r="K20" i="8" s="1"/>
  <c r="J16" i="8"/>
  <c r="G8" i="8"/>
  <c r="J8" i="8"/>
  <c r="G51" i="8"/>
  <c r="J51" i="8"/>
  <c r="J46" i="8"/>
  <c r="G42" i="8"/>
  <c r="J42" i="8"/>
  <c r="J38" i="8"/>
  <c r="J30" i="8"/>
  <c r="J26" i="8"/>
  <c r="G18" i="8"/>
  <c r="K18" i="8"/>
  <c r="G10" i="8"/>
  <c r="G49" i="8"/>
  <c r="J49" i="8"/>
  <c r="G17" i="8"/>
  <c r="K17" i="8" s="1"/>
  <c r="J5" i="8"/>
  <c r="G12" i="8"/>
  <c r="J12" i="8"/>
  <c r="J4" i="8"/>
  <c r="G43" i="8"/>
  <c r="J39" i="8"/>
  <c r="J35" i="8"/>
  <c r="J31" i="8"/>
  <c r="J23" i="8"/>
  <c r="J15" i="8"/>
  <c r="J11" i="8"/>
  <c r="G30" i="8"/>
  <c r="G22" i="8"/>
  <c r="G25" i="8"/>
  <c r="K25" i="8" s="1"/>
  <c r="G40" i="8"/>
  <c r="G24" i="8"/>
  <c r="K24" i="8" s="1"/>
  <c r="G31" i="8"/>
  <c r="K31" i="8" s="1"/>
  <c r="G23" i="8"/>
  <c r="K23" i="8" s="1"/>
  <c r="G4" i="8"/>
  <c r="G38" i="8"/>
  <c r="K38" i="8" s="1"/>
  <c r="G39" i="8"/>
  <c r="H37" i="8"/>
  <c r="H45" i="8"/>
  <c r="K45" i="8" s="1"/>
  <c r="H29" i="8"/>
  <c r="H13" i="8"/>
  <c r="H49" i="8"/>
  <c r="H9" i="8"/>
  <c r="H52" i="8"/>
  <c r="H40" i="8"/>
  <c r="H32" i="8"/>
  <c r="H28" i="8"/>
  <c r="H8" i="8"/>
  <c r="H4" i="8"/>
  <c r="K4" i="8" s="1"/>
  <c r="H47" i="8"/>
  <c r="H39" i="8"/>
  <c r="H31" i="8"/>
  <c r="H23" i="8"/>
  <c r="H15" i="8"/>
  <c r="H44" i="8"/>
  <c r="H12" i="8"/>
  <c r="H46" i="8"/>
  <c r="H38" i="8"/>
  <c r="H30" i="8"/>
  <c r="H22" i="8"/>
  <c r="K9" i="8"/>
  <c r="H179" i="7" s="1"/>
  <c r="K30" i="8"/>
  <c r="F51" i="8"/>
  <c r="F52" i="8"/>
  <c r="F53" i="8"/>
  <c r="I51" i="8"/>
  <c r="H178" i="7"/>
  <c r="AJ7" i="4"/>
  <c r="F52" i="9"/>
  <c r="AH7" i="4"/>
  <c r="AE7" i="4"/>
  <c r="AC7" i="4"/>
  <c r="Y7" i="4"/>
  <c r="A22" i="7"/>
  <c r="O7" i="4"/>
  <c r="L7" i="4"/>
  <c r="K7" i="4"/>
  <c r="I7" i="4"/>
  <c r="G7" i="4"/>
  <c r="I9" i="8"/>
  <c r="I33"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I18" i="8"/>
  <c r="I22" i="8"/>
  <c r="I26" i="8"/>
  <c r="I30" i="8"/>
  <c r="I34" i="8"/>
  <c r="I38" i="8"/>
  <c r="I42" i="8"/>
  <c r="I49" i="8"/>
  <c r="I50" i="8"/>
  <c r="F4" i="8"/>
  <c r="Y25" i="9"/>
  <c r="I25" i="8"/>
  <c r="I45" i="8"/>
  <c r="I13" i="8"/>
  <c r="I37" i="8"/>
  <c r="I48" i="8"/>
  <c r="I44" i="8"/>
  <c r="I40" i="8"/>
  <c r="I36" i="8"/>
  <c r="I32" i="8"/>
  <c r="I28" i="8"/>
  <c r="I24" i="8"/>
  <c r="I16" i="8"/>
  <c r="I12" i="8"/>
  <c r="I8" i="8"/>
  <c r="I39" i="8"/>
  <c r="I35" i="8"/>
  <c r="I31" i="8"/>
  <c r="I27" i="8"/>
  <c r="I23" i="8"/>
  <c r="I19" i="8"/>
  <c r="I15" i="8"/>
  <c r="I4" i="8"/>
  <c r="V13" i="9"/>
  <c r="Z13" i="9"/>
  <c r="Z23" i="9"/>
  <c r="D7" i="4"/>
  <c r="E7" i="4" s="1"/>
  <c r="D8" i="4"/>
  <c r="E8" i="4"/>
  <c r="D9" i="4"/>
  <c r="E9" i="4" s="1"/>
  <c r="D10" i="4"/>
  <c r="E10" i="4"/>
  <c r="D11" i="4"/>
  <c r="E11" i="4" s="1"/>
  <c r="D12" i="4"/>
  <c r="E12" i="4"/>
  <c r="D13" i="4"/>
  <c r="E13" i="4" s="1"/>
  <c r="D14" i="4"/>
  <c r="E14" i="4"/>
  <c r="D15" i="4"/>
  <c r="E15" i="4" s="1"/>
  <c r="D16" i="4"/>
  <c r="E16" i="4"/>
  <c r="D17" i="4"/>
  <c r="E17" i="4" s="1"/>
  <c r="D18" i="4"/>
  <c r="E18" i="4"/>
  <c r="D19" i="4"/>
  <c r="E19" i="4" s="1"/>
  <c r="D20" i="4"/>
  <c r="E20" i="4"/>
  <c r="D21" i="4"/>
  <c r="E21" i="4" s="1"/>
  <c r="D22" i="4"/>
  <c r="E22" i="4"/>
  <c r="D23" i="4"/>
  <c r="E23" i="4" s="1"/>
  <c r="D24" i="4"/>
  <c r="E24" i="4"/>
  <c r="D25" i="4"/>
  <c r="E25" i="4" s="1"/>
  <c r="D26" i="4"/>
  <c r="E26" i="4"/>
  <c r="D27" i="4"/>
  <c r="E27" i="4" s="1"/>
  <c r="D28" i="4"/>
  <c r="E28" i="4"/>
  <c r="D29" i="4"/>
  <c r="E29" i="4" s="1"/>
  <c r="D30" i="4"/>
  <c r="E30" i="4"/>
  <c r="D31" i="4"/>
  <c r="E31" i="4" s="1"/>
  <c r="D32" i="4"/>
  <c r="E32" i="4"/>
  <c r="D33" i="4"/>
  <c r="E33" i="4" s="1"/>
  <c r="D34" i="4"/>
  <c r="E34" i="4"/>
  <c r="D35" i="4"/>
  <c r="E35" i="4" s="1"/>
  <c r="D36" i="4"/>
  <c r="E36" i="4"/>
  <c r="D37" i="4"/>
  <c r="E37" i="4" s="1"/>
  <c r="D38" i="4"/>
  <c r="E38" i="4"/>
  <c r="D39" i="4"/>
  <c r="E39" i="4" s="1"/>
  <c r="D40" i="4"/>
  <c r="E40" i="4"/>
  <c r="D41" i="4"/>
  <c r="E41" i="4" s="1"/>
  <c r="D42" i="4"/>
  <c r="E42" i="4"/>
  <c r="D43" i="4"/>
  <c r="E43" i="4" s="1"/>
  <c r="D44" i="4"/>
  <c r="E44" i="4"/>
  <c r="D45" i="4"/>
  <c r="E45" i="4" s="1"/>
  <c r="D46" i="4"/>
  <c r="E46" i="4"/>
  <c r="D47" i="4"/>
  <c r="E47" i="4" s="1"/>
  <c r="D48" i="4"/>
  <c r="E48" i="4"/>
  <c r="D49" i="4"/>
  <c r="E49" i="4" s="1"/>
  <c r="D50" i="4"/>
  <c r="E50" i="4"/>
  <c r="D51" i="4"/>
  <c r="E51" i="4" s="1"/>
  <c r="D52" i="4"/>
  <c r="E52" i="4"/>
  <c r="D53" i="4"/>
  <c r="E53" i="4" s="1"/>
  <c r="D54" i="4"/>
  <c r="E54" i="4"/>
  <c r="D55" i="4"/>
  <c r="E55" i="4" s="1"/>
  <c r="D56" i="4"/>
  <c r="E56" i="4"/>
  <c r="D57" i="4"/>
  <c r="E57" i="4" s="1"/>
  <c r="D58" i="4"/>
  <c r="E58" i="4"/>
  <c r="D59" i="4"/>
  <c r="E59" i="4" s="1"/>
  <c r="D60" i="4"/>
  <c r="E60" i="4"/>
  <c r="D61" i="4"/>
  <c r="E61" i="4" s="1"/>
  <c r="D62" i="4"/>
  <c r="E62" i="4"/>
  <c r="D63" i="4"/>
  <c r="E63" i="4" s="1"/>
  <c r="D64" i="4"/>
  <c r="E64" i="4"/>
  <c r="D65" i="4"/>
  <c r="E65" i="4" s="1"/>
  <c r="D66" i="4"/>
  <c r="E66" i="4"/>
  <c r="D3" i="3"/>
  <c r="F47" i="9"/>
  <c r="D29" i="5"/>
  <c r="G7" i="11"/>
  <c r="H7" i="11" s="1"/>
  <c r="I7" i="11" s="1"/>
  <c r="J7" i="11" s="1"/>
  <c r="K7" i="11" s="1"/>
  <c r="L7" i="11" s="1"/>
  <c r="M7" i="11" s="1"/>
  <c r="N7" i="11" s="1"/>
  <c r="O7" i="11" s="1"/>
  <c r="B7" i="11" s="1"/>
  <c r="A33" i="7"/>
  <c r="BD7" i="4"/>
  <c r="BB7" i="4"/>
  <c r="F4" i="7"/>
  <c r="W9" i="4"/>
  <c r="W13" i="4"/>
  <c r="H91" i="7"/>
  <c r="Z30" i="9"/>
  <c r="D43" i="5"/>
  <c r="F43" i="5" s="1"/>
  <c r="G100" i="8"/>
  <c r="I100" i="8"/>
  <c r="K52" i="7"/>
  <c r="J52" i="7"/>
  <c r="J96" i="8"/>
  <c r="K96" i="8"/>
  <c r="H52" i="7" s="1"/>
  <c r="K126" i="7"/>
  <c r="J126" i="7" s="1"/>
  <c r="I128" i="8"/>
  <c r="H128" i="8"/>
  <c r="K127" i="7"/>
  <c r="J127" i="7" s="1"/>
  <c r="K21" i="7"/>
  <c r="J21" i="7" s="1"/>
  <c r="K171" i="7"/>
  <c r="J171" i="7" s="1"/>
  <c r="H56" i="8"/>
  <c r="H62" i="8"/>
  <c r="K62" i="8" s="1"/>
  <c r="H35" i="7" s="1"/>
  <c r="I66" i="8"/>
  <c r="I80" i="8"/>
  <c r="Z33" i="9"/>
  <c r="C46" i="5"/>
  <c r="E46" i="5" s="1"/>
  <c r="C42" i="5"/>
  <c r="E42" i="5" s="1"/>
  <c r="C49" i="5"/>
  <c r="E49" i="5" s="1"/>
  <c r="C41" i="5"/>
  <c r="I96" i="8"/>
  <c r="K112" i="8"/>
  <c r="H68" i="7" s="1"/>
  <c r="H120" i="7"/>
  <c r="H119" i="7"/>
  <c r="K108" i="7"/>
  <c r="J108" i="7" s="1"/>
  <c r="K109" i="7"/>
  <c r="J109" i="7"/>
  <c r="A170" i="7"/>
  <c r="Z28" i="9"/>
  <c r="Z31" i="9"/>
  <c r="C40" i="5"/>
  <c r="E40" i="5" s="1"/>
  <c r="C47" i="5"/>
  <c r="E47" i="5" s="1"/>
  <c r="C43" i="5"/>
  <c r="E43" i="5" s="1"/>
  <c r="K64" i="7"/>
  <c r="J64" i="7" s="1"/>
  <c r="I97" i="8"/>
  <c r="G97" i="8"/>
  <c r="K111" i="8"/>
  <c r="H65" i="7" s="1"/>
  <c r="G110" i="8"/>
  <c r="K127" i="8"/>
  <c r="I190" i="8"/>
  <c r="J190" i="8"/>
  <c r="G194" i="8"/>
  <c r="K194" i="8" s="1"/>
  <c r="H132" i="7" s="1"/>
  <c r="K170" i="8"/>
  <c r="H116" i="7" s="1"/>
  <c r="I143" i="8"/>
  <c r="G143" i="8"/>
  <c r="K143" i="8" s="1"/>
  <c r="H166" i="7" s="1"/>
  <c r="J143" i="8"/>
  <c r="H143" i="8"/>
  <c r="I137" i="8"/>
  <c r="H137" i="8"/>
  <c r="J199" i="8"/>
  <c r="K199" i="8" s="1"/>
  <c r="H199" i="8"/>
  <c r="I199" i="8"/>
  <c r="K153" i="8"/>
  <c r="H155" i="7" s="1"/>
  <c r="H191" i="8"/>
  <c r="I191" i="8"/>
  <c r="K105" i="7"/>
  <c r="J105" i="7" s="1"/>
  <c r="G191" i="8"/>
  <c r="H187" i="8"/>
  <c r="I187" i="8"/>
  <c r="G187" i="8"/>
  <c r="J187" i="8"/>
  <c r="K187" i="8" s="1"/>
  <c r="H169" i="7" s="1"/>
  <c r="K79" i="7"/>
  <c r="J79" i="7"/>
  <c r="J177" i="8"/>
  <c r="G172" i="8"/>
  <c r="H172" i="8"/>
  <c r="J172" i="8"/>
  <c r="G164" i="8"/>
  <c r="K164" i="8"/>
  <c r="H158" i="7" s="1"/>
  <c r="I164" i="8"/>
  <c r="G160" i="8"/>
  <c r="H160" i="8"/>
  <c r="K160" i="8" s="1"/>
  <c r="H122" i="7" s="1"/>
  <c r="K122" i="7"/>
  <c r="J122" i="7"/>
  <c r="J160" i="8"/>
  <c r="K111" i="7"/>
  <c r="J111" i="7" s="1"/>
  <c r="G148" i="8"/>
  <c r="I148" i="8"/>
  <c r="H142" i="8"/>
  <c r="J142" i="8"/>
  <c r="K163" i="7"/>
  <c r="J163" i="7"/>
  <c r="G132" i="8"/>
  <c r="H132" i="8"/>
  <c r="K132" i="8" s="1"/>
  <c r="I132" i="8"/>
  <c r="H198" i="8"/>
  <c r="G198" i="8"/>
  <c r="J198" i="8"/>
  <c r="I194" i="8"/>
  <c r="H194" i="8"/>
  <c r="I186" i="8"/>
  <c r="J186" i="8"/>
  <c r="K186" i="8" s="1"/>
  <c r="H160" i="7" s="1"/>
  <c r="K160" i="7"/>
  <c r="J160" i="7" s="1"/>
  <c r="I171" i="8"/>
  <c r="H171" i="8"/>
  <c r="K171" i="8" s="1"/>
  <c r="H125" i="7" s="1"/>
  <c r="G171" i="8"/>
  <c r="J171" i="8"/>
  <c r="J163" i="8"/>
  <c r="G163" i="8"/>
  <c r="I159" i="8"/>
  <c r="G159" i="8"/>
  <c r="H121" i="8"/>
  <c r="K121" i="8" s="1"/>
  <c r="K149" i="7"/>
  <c r="J149" i="7" s="1"/>
  <c r="I163" i="8"/>
  <c r="G190" i="8"/>
  <c r="K181" i="8"/>
  <c r="H115" i="7"/>
  <c r="G177" i="8"/>
  <c r="K177" i="8" s="1"/>
  <c r="H79" i="7" s="1"/>
  <c r="G137" i="8"/>
  <c r="K137" i="8" s="1"/>
  <c r="H112" i="7" s="1"/>
  <c r="G200" i="8"/>
  <c r="K200" i="8" s="1"/>
  <c r="J200" i="8"/>
  <c r="I200" i="8"/>
  <c r="H196" i="8"/>
  <c r="K196" i="8" s="1"/>
  <c r="H150" i="7" s="1"/>
  <c r="G196" i="8"/>
  <c r="J201" i="8"/>
  <c r="I201" i="8"/>
  <c r="H197" i="8"/>
  <c r="J197" i="8"/>
  <c r="K197" i="8"/>
  <c r="H159" i="7" s="1"/>
  <c r="I197" i="8"/>
  <c r="G201" i="8"/>
  <c r="K201" i="8" s="1"/>
  <c r="G202" i="8"/>
  <c r="K202" i="8" s="1"/>
  <c r="H40" i="7" s="1"/>
  <c r="I202" i="8"/>
  <c r="J208" i="8"/>
  <c r="H208" i="8"/>
  <c r="G208" i="8"/>
  <c r="K208" i="8" s="1"/>
  <c r="BB10" i="4"/>
  <c r="BB8" i="4"/>
  <c r="BB9" i="4"/>
  <c r="A32" i="7"/>
  <c r="A34" i="7"/>
  <c r="A35" i="7"/>
  <c r="D31" i="5"/>
  <c r="F49" i="9"/>
  <c r="K191" i="8"/>
  <c r="H105" i="7" s="1"/>
  <c r="H156" i="7"/>
  <c r="H163" i="7"/>
  <c r="H162" i="7"/>
  <c r="D77" i="8"/>
  <c r="B51" i="7"/>
  <c r="B171" i="7"/>
  <c r="D14" i="8"/>
  <c r="B158" i="7"/>
  <c r="D127" i="8"/>
  <c r="D167" i="8"/>
  <c r="D23" i="8"/>
  <c r="D31" i="8"/>
  <c r="D27" i="8"/>
  <c r="D215" i="8"/>
  <c r="D158" i="8"/>
  <c r="B18" i="7"/>
  <c r="D92" i="8"/>
  <c r="D10" i="8"/>
  <c r="B152" i="7"/>
  <c r="D186" i="8"/>
  <c r="B106" i="7"/>
  <c r="B16" i="7"/>
  <c r="B52" i="7"/>
  <c r="D205" i="8"/>
  <c r="D89" i="8"/>
  <c r="B11" i="7"/>
  <c r="B130" i="7"/>
  <c r="B173" i="7"/>
  <c r="D44" i="8"/>
  <c r="B98" i="7"/>
  <c r="B139" i="7"/>
  <c r="D78" i="8"/>
  <c r="D204" i="8"/>
  <c r="D175" i="8"/>
  <c r="D159" i="8"/>
  <c r="B78" i="7"/>
  <c r="B58" i="7"/>
  <c r="D122" i="8"/>
  <c r="B107" i="7"/>
  <c r="D132" i="8"/>
  <c r="B157" i="7"/>
  <c r="D107" i="8"/>
  <c r="D83" i="8"/>
  <c r="B55" i="7"/>
  <c r="B167" i="7"/>
  <c r="B144" i="7"/>
  <c r="D110" i="8"/>
  <c r="B19" i="7"/>
  <c r="B111" i="7"/>
  <c r="D6" i="8"/>
  <c r="B27" i="7"/>
  <c r="D57" i="8"/>
  <c r="D210" i="8"/>
  <c r="D121" i="8"/>
  <c r="E41" i="5"/>
  <c r="D41" i="8"/>
  <c r="D179" i="8"/>
  <c r="B71" i="7"/>
  <c r="B38" i="7"/>
  <c r="B14" i="7"/>
  <c r="D51" i="8"/>
  <c r="B34" i="7"/>
  <c r="D174" i="8"/>
  <c r="B68" i="7"/>
  <c r="D191" i="8"/>
  <c r="D164" i="8"/>
  <c r="D35" i="8"/>
  <c r="B54" i="7"/>
  <c r="D22" i="8"/>
  <c r="B184" i="7"/>
  <c r="D94" i="8"/>
  <c r="D12" i="8"/>
  <c r="D113" i="8"/>
  <c r="D4" i="8"/>
  <c r="D208" i="8"/>
  <c r="D157" i="8"/>
  <c r="D150" i="8"/>
  <c r="B153" i="7"/>
  <c r="D149" i="8"/>
  <c r="D142" i="8"/>
  <c r="B129" i="7"/>
  <c r="B156" i="7"/>
  <c r="D152" i="8"/>
  <c r="B137" i="7"/>
  <c r="B30" i="7"/>
  <c r="D148" i="8"/>
  <c r="D161" i="8"/>
  <c r="D198" i="8"/>
  <c r="D40" i="8"/>
  <c r="D32" i="8"/>
  <c r="B124" i="7"/>
  <c r="D81" i="8"/>
  <c r="D178" i="8"/>
  <c r="D49" i="8"/>
  <c r="D131" i="8"/>
  <c r="D86" i="8"/>
  <c r="D162" i="8"/>
  <c r="B131" i="7"/>
  <c r="B29" i="7"/>
  <c r="B84" i="7"/>
  <c r="B132" i="7"/>
  <c r="D65" i="8"/>
  <c r="D17" i="8"/>
  <c r="B36" i="7"/>
  <c r="D7" i="8"/>
  <c r="D53" i="8"/>
  <c r="B165" i="7"/>
  <c r="D120" i="8"/>
  <c r="D46" i="8"/>
  <c r="D109" i="8"/>
  <c r="B37" i="7"/>
  <c r="B39" i="7"/>
  <c r="B53" i="7"/>
  <c r="B122" i="7"/>
  <c r="B79" i="7"/>
  <c r="D60" i="8"/>
  <c r="B120" i="7"/>
  <c r="B50" i="7"/>
  <c r="D170" i="8"/>
  <c r="B81" i="7"/>
  <c r="B10" i="7"/>
  <c r="D128" i="8"/>
  <c r="B112" i="7"/>
  <c r="B126" i="7"/>
  <c r="D5" i="8"/>
  <c r="B82" i="7"/>
  <c r="D155" i="8"/>
  <c r="D115" i="8"/>
  <c r="D163" i="8"/>
  <c r="D68" i="8"/>
  <c r="B90" i="7"/>
  <c r="D194" i="8"/>
  <c r="D123" i="8"/>
  <c r="D64" i="8"/>
  <c r="B28" i="7"/>
  <c r="B45" i="7"/>
  <c r="B46" i="7"/>
  <c r="D129" i="8"/>
  <c r="B135" i="7"/>
  <c r="D15" i="8"/>
  <c r="D209" i="8"/>
  <c r="B164" i="7"/>
  <c r="D33" i="8"/>
  <c r="D193" i="8"/>
  <c r="B91" i="7"/>
  <c r="B48" i="7"/>
  <c r="D47" i="8"/>
  <c r="B96" i="7"/>
  <c r="D106" i="8"/>
  <c r="B104" i="7"/>
  <c r="B65" i="7"/>
  <c r="D20" i="8"/>
  <c r="D118" i="8"/>
  <c r="D187" i="8"/>
  <c r="B43" i="7"/>
  <c r="B99" i="7"/>
  <c r="D189" i="8"/>
  <c r="D70" i="8"/>
  <c r="D82" i="8"/>
  <c r="D177" i="8"/>
  <c r="D171" i="8"/>
  <c r="D168" i="8"/>
  <c r="B92" i="7"/>
  <c r="B83" i="7"/>
  <c r="B63" i="7"/>
  <c r="B85" i="7"/>
  <c r="D99" i="8"/>
  <c r="B26" i="7"/>
  <c r="D43" i="8"/>
  <c r="D136" i="8"/>
  <c r="D25" i="8"/>
  <c r="D61" i="8"/>
  <c r="D139" i="8"/>
  <c r="D34" i="8"/>
  <c r="B121" i="7"/>
  <c r="B176" i="7"/>
  <c r="B88" i="7"/>
  <c r="D130" i="8"/>
  <c r="D125" i="8"/>
  <c r="B20" i="7"/>
  <c r="D190" i="8"/>
  <c r="B146" i="7"/>
  <c r="B95" i="7"/>
  <c r="B163" i="7"/>
  <c r="D79" i="8"/>
  <c r="D154" i="8"/>
  <c r="D112" i="8"/>
  <c r="B125" i="7"/>
  <c r="D16" i="8"/>
  <c r="B21" i="7"/>
  <c r="D185" i="8"/>
  <c r="D133" i="8"/>
  <c r="B162" i="7"/>
  <c r="D153" i="8"/>
  <c r="B101" i="7"/>
  <c r="B175" i="7"/>
  <c r="B72" i="7"/>
  <c r="B75" i="7"/>
  <c r="D18" i="8"/>
  <c r="D143" i="8"/>
  <c r="D56" i="8"/>
  <c r="B183" i="7"/>
  <c r="B155" i="7"/>
  <c r="B113" i="7"/>
  <c r="B77" i="7"/>
  <c r="B17" i="7"/>
  <c r="D100" i="8"/>
  <c r="B66" i="7"/>
  <c r="B181" i="7"/>
  <c r="D108" i="8"/>
  <c r="B161" i="7"/>
  <c r="B160" i="7"/>
  <c r="B12" i="7"/>
  <c r="B159" i="7"/>
  <c r="D85" i="8"/>
  <c r="B141" i="7"/>
  <c r="D145" i="8"/>
  <c r="D184" i="8"/>
  <c r="B22" i="7"/>
  <c r="D59" i="8"/>
  <c r="D206" i="8"/>
  <c r="D58" i="8"/>
  <c r="D126" i="8"/>
  <c r="B42" i="7"/>
  <c r="B142" i="7"/>
  <c r="D29" i="8"/>
  <c r="B154" i="7"/>
  <c r="B123" i="7"/>
  <c r="B178" i="7"/>
  <c r="B59" i="7"/>
  <c r="D134" i="8"/>
  <c r="B61" i="7"/>
  <c r="B60" i="7"/>
  <c r="B64" i="7"/>
  <c r="D36" i="8"/>
  <c r="D50" i="8"/>
  <c r="B49" i="7"/>
  <c r="B119" i="7"/>
  <c r="B102" i="7"/>
  <c r="B87" i="7"/>
  <c r="D173" i="8"/>
  <c r="D97" i="8"/>
  <c r="B108" i="7"/>
  <c r="B148" i="7"/>
  <c r="B151" i="7"/>
  <c r="D67" i="8"/>
  <c r="D63" i="8"/>
  <c r="B115" i="7"/>
  <c r="D147" i="8"/>
  <c r="D196" i="8"/>
  <c r="D104" i="8"/>
  <c r="D124" i="8"/>
  <c r="B69" i="7"/>
  <c r="B133" i="7"/>
  <c r="B40" i="7"/>
  <c r="B168" i="7"/>
  <c r="B73" i="7"/>
  <c r="D54" i="8"/>
  <c r="D42" i="8"/>
  <c r="B67" i="7"/>
  <c r="B100" i="7"/>
  <c r="D48" i="8"/>
  <c r="D188" i="8"/>
  <c r="D181" i="8"/>
  <c r="D21" i="8"/>
  <c r="D146" i="8"/>
  <c r="B149" i="7"/>
  <c r="B8" i="7"/>
  <c r="B15" i="7"/>
  <c r="B80" i="7"/>
  <c r="B89" i="7"/>
  <c r="D138" i="8"/>
  <c r="D144" i="8"/>
  <c r="D176" i="8"/>
  <c r="D200" i="8"/>
  <c r="B180" i="7"/>
  <c r="D137" i="8"/>
  <c r="B147" i="7"/>
  <c r="D135" i="8"/>
  <c r="B118" i="7"/>
  <c r="D183" i="8"/>
  <c r="B47" i="7"/>
  <c r="D62" i="8"/>
  <c r="B166" i="7"/>
  <c r="B33" i="7"/>
  <c r="D26" i="8"/>
  <c r="D201" i="8"/>
  <c r="B31" i="7"/>
  <c r="D75" i="8"/>
  <c r="B7" i="7"/>
  <c r="B145" i="7"/>
  <c r="B169" i="7"/>
  <c r="D114" i="8"/>
  <c r="D203" i="8"/>
  <c r="B136" i="7"/>
  <c r="B23" i="7"/>
  <c r="B143" i="7"/>
  <c r="D207" i="8"/>
  <c r="D90" i="8"/>
  <c r="D80" i="8"/>
  <c r="D30" i="8"/>
  <c r="D213" i="8"/>
  <c r="B127" i="7"/>
  <c r="B170" i="7"/>
  <c r="D192" i="8"/>
  <c r="D172" i="8"/>
  <c r="B57" i="7"/>
  <c r="B86" i="7"/>
  <c r="B93" i="7"/>
  <c r="D19" i="8"/>
  <c r="B110" i="7"/>
  <c r="D182" i="8"/>
  <c r="B174" i="7"/>
  <c r="B32" i="7"/>
  <c r="B114" i="7"/>
  <c r="D180" i="8"/>
  <c r="B109" i="7"/>
  <c r="D117" i="8"/>
  <c r="D151" i="8"/>
  <c r="B134" i="7"/>
  <c r="B35" i="7"/>
  <c r="B172" i="7"/>
  <c r="D11" i="8"/>
  <c r="D95" i="8"/>
  <c r="D169" i="8"/>
  <c r="D202" i="8"/>
  <c r="D96" i="8"/>
  <c r="D156" i="8"/>
  <c r="D211" i="8"/>
  <c r="B13" i="7"/>
  <c r="D101" i="8"/>
  <c r="B177" i="7"/>
  <c r="B182" i="7"/>
  <c r="D116" i="8"/>
  <c r="B103" i="7"/>
  <c r="B140" i="7"/>
  <c r="D45" i="8"/>
  <c r="D93" i="8"/>
  <c r="D105" i="8"/>
  <c r="D84" i="8"/>
  <c r="D87" i="8"/>
  <c r="D39" i="8"/>
  <c r="B74" i="7"/>
  <c r="B97" i="7"/>
  <c r="B105" i="7"/>
  <c r="D165" i="8"/>
  <c r="D9" i="8"/>
  <c r="D91" i="8"/>
  <c r="B24" i="7"/>
  <c r="B116" i="7"/>
  <c r="D140" i="8"/>
  <c r="D166" i="8"/>
  <c r="B62" i="7"/>
  <c r="D8" i="8"/>
  <c r="B128" i="7"/>
  <c r="D74" i="8"/>
  <c r="D88" i="8"/>
  <c r="D38" i="8"/>
  <c r="B150" i="7"/>
  <c r="D195" i="8"/>
  <c r="D141" i="8"/>
  <c r="D66" i="8"/>
  <c r="D160" i="8"/>
  <c r="D13" i="8"/>
  <c r="D111" i="8"/>
  <c r="D214" i="8"/>
  <c r="D102" i="8"/>
  <c r="B76" i="7"/>
  <c r="B9" i="7"/>
  <c r="D52" i="8"/>
  <c r="D119" i="8"/>
  <c r="B56" i="7"/>
  <c r="B117" i="7"/>
  <c r="D24" i="8"/>
  <c r="B44" i="7"/>
  <c r="D197" i="8"/>
  <c r="B70" i="7"/>
  <c r="D69" i="8"/>
  <c r="B25" i="7"/>
  <c r="B179" i="7"/>
  <c r="B138" i="7"/>
  <c r="D55" i="8"/>
  <c r="B94" i="7"/>
  <c r="D28" i="8"/>
  <c r="D98" i="8"/>
  <c r="H118" i="7" l="1"/>
  <c r="H117" i="7"/>
  <c r="H51" i="7"/>
  <c r="D47" i="5"/>
  <c r="F47" i="5" s="1"/>
  <c r="Z37" i="9"/>
  <c r="I60" i="8"/>
  <c r="I11" i="8"/>
  <c r="I43" i="8"/>
  <c r="H11" i="8"/>
  <c r="J50" i="8"/>
  <c r="A80" i="7"/>
  <c r="H91" i="8"/>
  <c r="G91" i="8"/>
  <c r="J91" i="8"/>
  <c r="A151" i="7"/>
  <c r="J116" i="8"/>
  <c r="G116" i="8"/>
  <c r="I173" i="8"/>
  <c r="H173" i="8"/>
  <c r="J173" i="8"/>
  <c r="K173" i="8" s="1"/>
  <c r="H143" i="7" s="1"/>
  <c r="K144" i="7"/>
  <c r="J144" i="7" s="1"/>
  <c r="K145" i="7"/>
  <c r="J145" i="7" s="1"/>
  <c r="I130" i="8"/>
  <c r="G130" i="8"/>
  <c r="I47" i="8"/>
  <c r="K44" i="8"/>
  <c r="H13" i="7" s="1"/>
  <c r="G53" i="8"/>
  <c r="I53" i="8"/>
  <c r="H76" i="8"/>
  <c r="K76" i="8" s="1"/>
  <c r="J76" i="8"/>
  <c r="A168" i="7"/>
  <c r="H43" i="7"/>
  <c r="H42" i="7"/>
  <c r="G95" i="8"/>
  <c r="K49" i="7"/>
  <c r="J49" i="7" s="1"/>
  <c r="K48" i="7"/>
  <c r="J48" i="7" s="1"/>
  <c r="K81" i="7"/>
  <c r="J81" i="7" s="1"/>
  <c r="H123" i="8"/>
  <c r="J115" i="8"/>
  <c r="I115" i="8"/>
  <c r="I184" i="8"/>
  <c r="K142" i="7"/>
  <c r="J142" i="7" s="1"/>
  <c r="K147" i="7"/>
  <c r="J147" i="7" s="1"/>
  <c r="J152" i="8"/>
  <c r="G152" i="8"/>
  <c r="I152" i="8"/>
  <c r="K75" i="7"/>
  <c r="J75" i="7" s="1"/>
  <c r="G144" i="8"/>
  <c r="K144" i="8" s="1"/>
  <c r="K74" i="7"/>
  <c r="J74" i="7" s="1"/>
  <c r="G7" i="8"/>
  <c r="J7" i="8"/>
  <c r="G83" i="8"/>
  <c r="K83" i="8" s="1"/>
  <c r="J83" i="8"/>
  <c r="H83" i="8"/>
  <c r="J113" i="8"/>
  <c r="H113" i="8"/>
  <c r="K113" i="8" s="1"/>
  <c r="H71" i="7" s="1"/>
  <c r="G129" i="8"/>
  <c r="K129" i="8" s="1"/>
  <c r="J129" i="8"/>
  <c r="K136" i="7"/>
  <c r="J136" i="7" s="1"/>
  <c r="I129" i="8"/>
  <c r="H122" i="8"/>
  <c r="K122" i="8" s="1"/>
  <c r="K73" i="7"/>
  <c r="J73" i="7" s="1"/>
  <c r="I122" i="8"/>
  <c r="J122" i="8"/>
  <c r="H190" i="8"/>
  <c r="K190" i="8" s="1"/>
  <c r="H96" i="7" s="1"/>
  <c r="K96" i="7"/>
  <c r="J96" i="7" s="1"/>
  <c r="D48" i="5"/>
  <c r="F48" i="5" s="1"/>
  <c r="Z36" i="9"/>
  <c r="D44" i="5"/>
  <c r="F44" i="5" s="1"/>
  <c r="H42" i="8"/>
  <c r="K40" i="8"/>
  <c r="H9" i="7" s="1"/>
  <c r="K12" i="7"/>
  <c r="J12" i="7" s="1"/>
  <c r="J36" i="8"/>
  <c r="G36" i="8"/>
  <c r="H36" i="8"/>
  <c r="J28" i="8"/>
  <c r="G28" i="8"/>
  <c r="K28" i="8" s="1"/>
  <c r="J20" i="8"/>
  <c r="I20" i="8"/>
  <c r="H20" i="8"/>
  <c r="G6" i="8"/>
  <c r="H6" i="8"/>
  <c r="I6" i="8"/>
  <c r="C39" i="5"/>
  <c r="E39" i="5" s="1"/>
  <c r="A97" i="7"/>
  <c r="A79" i="7"/>
  <c r="C45" i="5"/>
  <c r="E45" i="5" s="1"/>
  <c r="A116" i="7"/>
  <c r="H129" i="8"/>
  <c r="H116" i="8"/>
  <c r="K135" i="7"/>
  <c r="J135" i="7" s="1"/>
  <c r="H130" i="8"/>
  <c r="C44" i="5"/>
  <c r="E44" i="5" s="1"/>
  <c r="D39" i="5"/>
  <c r="Z27" i="9"/>
  <c r="K25" i="7"/>
  <c r="J25" i="7" s="1"/>
  <c r="G52" i="8"/>
  <c r="I52" i="8"/>
  <c r="J52" i="8"/>
  <c r="K52" i="8" s="1"/>
  <c r="H23" i="7" s="1"/>
  <c r="G35" i="8"/>
  <c r="K35" i="8" s="1"/>
  <c r="H35" i="8"/>
  <c r="J27" i="8"/>
  <c r="H27" i="8"/>
  <c r="H19" i="8"/>
  <c r="G19" i="8"/>
  <c r="K19" i="8" s="1"/>
  <c r="G5" i="8"/>
  <c r="H5" i="8"/>
  <c r="J56" i="8"/>
  <c r="K56" i="8" s="1"/>
  <c r="H27" i="7" s="1"/>
  <c r="I56" i="8"/>
  <c r="K27" i="7"/>
  <c r="J27" i="7" s="1"/>
  <c r="K175" i="7"/>
  <c r="J175" i="7" s="1"/>
  <c r="G68" i="8"/>
  <c r="K68" i="8" s="1"/>
  <c r="J68" i="8"/>
  <c r="I68" i="8"/>
  <c r="H68" i="8"/>
  <c r="A141" i="7"/>
  <c r="K72" i="7"/>
  <c r="J72" i="7" s="1"/>
  <c r="J120" i="8"/>
  <c r="H120" i="8"/>
  <c r="G120" i="8"/>
  <c r="K120" i="8" s="1"/>
  <c r="K170" i="7"/>
  <c r="J170" i="7" s="1"/>
  <c r="G176" i="8"/>
  <c r="J176" i="8"/>
  <c r="H169" i="8"/>
  <c r="I169" i="8"/>
  <c r="G134" i="8"/>
  <c r="H134" i="8"/>
  <c r="I134" i="8"/>
  <c r="J134" i="8"/>
  <c r="K85" i="7"/>
  <c r="J85" i="7" s="1"/>
  <c r="C48" i="5"/>
  <c r="E48" i="5" s="1"/>
  <c r="Z29" i="9"/>
  <c r="M48" i="9" s="1"/>
  <c r="K12" i="8"/>
  <c r="H182" i="7" s="1"/>
  <c r="H43" i="8"/>
  <c r="K43" i="8" s="1"/>
  <c r="H12" i="7" s="1"/>
  <c r="K23" i="7"/>
  <c r="J23" i="7" s="1"/>
  <c r="H34" i="8"/>
  <c r="J34" i="8"/>
  <c r="G34" i="8"/>
  <c r="K34" i="8" s="1"/>
  <c r="H26" i="8"/>
  <c r="G26" i="8"/>
  <c r="K26" i="8" s="1"/>
  <c r="M6" i="5"/>
  <c r="A106" i="7"/>
  <c r="A88" i="7"/>
  <c r="K55" i="8"/>
  <c r="H26" i="7" s="1"/>
  <c r="I76" i="8"/>
  <c r="H99" i="8"/>
  <c r="K61" i="7"/>
  <c r="J61" i="7" s="1"/>
  <c r="G99" i="8"/>
  <c r="K99" i="8" s="1"/>
  <c r="I99" i="8"/>
  <c r="K60" i="7"/>
  <c r="J60" i="7" s="1"/>
  <c r="J103" i="8"/>
  <c r="I113" i="8"/>
  <c r="J106" i="8"/>
  <c r="K50" i="7"/>
  <c r="J50" i="7" s="1"/>
  <c r="G106" i="8"/>
  <c r="J110" i="8"/>
  <c r="K110" i="8" s="1"/>
  <c r="H62" i="7" s="1"/>
  <c r="K62" i="7"/>
  <c r="J62" i="7" s="1"/>
  <c r="I110" i="8"/>
  <c r="J126" i="8"/>
  <c r="I126" i="8"/>
  <c r="G126" i="8"/>
  <c r="H182" i="8"/>
  <c r="J182" i="8"/>
  <c r="G182" i="8"/>
  <c r="J148" i="8"/>
  <c r="H148" i="8"/>
  <c r="K148" i="8" s="1"/>
  <c r="K139" i="7"/>
  <c r="J139" i="7" s="1"/>
  <c r="G140" i="8"/>
  <c r="H50" i="8"/>
  <c r="G50" i="8"/>
  <c r="G47" i="8"/>
  <c r="J47" i="8"/>
  <c r="K47" i="8" s="1"/>
  <c r="H17" i="7" s="1"/>
  <c r="A98" i="7"/>
  <c r="J60" i="8"/>
  <c r="H60" i="8"/>
  <c r="K33" i="7"/>
  <c r="J33" i="7" s="1"/>
  <c r="G87" i="8"/>
  <c r="K87" i="8" s="1"/>
  <c r="H87" i="8"/>
  <c r="J87" i="8"/>
  <c r="I87" i="8"/>
  <c r="A77" i="7"/>
  <c r="K58" i="7"/>
  <c r="J58" i="7" s="1"/>
  <c r="J98" i="8"/>
  <c r="K106" i="8"/>
  <c r="H50" i="7" s="1"/>
  <c r="I7" i="8"/>
  <c r="H18" i="8"/>
  <c r="H7" i="8"/>
  <c r="G27" i="8"/>
  <c r="K27" i="8" s="1"/>
  <c r="G11" i="8"/>
  <c r="K11" i="8" s="1"/>
  <c r="H181" i="7" s="1"/>
  <c r="G46" i="8"/>
  <c r="K46" i="8" s="1"/>
  <c r="H16" i="7" s="1"/>
  <c r="I46" i="8"/>
  <c r="J32" i="8"/>
  <c r="G32" i="8"/>
  <c r="K32" i="8" s="1"/>
  <c r="J24" i="8"/>
  <c r="H24" i="8"/>
  <c r="G16" i="8"/>
  <c r="H16" i="8"/>
  <c r="H65" i="8"/>
  <c r="G65" i="8"/>
  <c r="J65" i="8"/>
  <c r="K65" i="8" s="1"/>
  <c r="H37" i="7" s="1"/>
  <c r="K37" i="7"/>
  <c r="J37" i="7" s="1"/>
  <c r="J59" i="8"/>
  <c r="K59" i="8" s="1"/>
  <c r="H32" i="7" s="1"/>
  <c r="I59" i="8"/>
  <c r="K32" i="7"/>
  <c r="J32" i="7" s="1"/>
  <c r="I95" i="8"/>
  <c r="G98" i="8"/>
  <c r="I101" i="8"/>
  <c r="K66" i="7"/>
  <c r="J66" i="7" s="1"/>
  <c r="G101" i="8"/>
  <c r="H101" i="8"/>
  <c r="J193" i="8"/>
  <c r="K123" i="7"/>
  <c r="J123" i="7" s="1"/>
  <c r="H159" i="8"/>
  <c r="K159" i="8" s="1"/>
  <c r="H113" i="7" s="1"/>
  <c r="J159" i="8"/>
  <c r="G212" i="8"/>
  <c r="K61" i="8"/>
  <c r="H34" i="7" s="1"/>
  <c r="H82" i="8"/>
  <c r="A142" i="7"/>
  <c r="H100" i="8"/>
  <c r="K100" i="8" s="1"/>
  <c r="K43" i="7"/>
  <c r="J43" i="7" s="1"/>
  <c r="H166" i="8"/>
  <c r="K166" i="8" s="1"/>
  <c r="H80" i="7" s="1"/>
  <c r="I198" i="8"/>
  <c r="K22" i="7"/>
  <c r="J22" i="7" s="1"/>
  <c r="A94" i="7"/>
  <c r="A114" i="7"/>
  <c r="K141" i="8"/>
  <c r="H148" i="7" s="1"/>
  <c r="J179" i="8"/>
  <c r="H206" i="8"/>
  <c r="K206" i="8" s="1"/>
  <c r="D41" i="5"/>
  <c r="F41" i="5" s="1"/>
  <c r="A96" i="7"/>
  <c r="A139" i="7"/>
  <c r="K109" i="8"/>
  <c r="H59" i="7" s="1"/>
  <c r="K141" i="7"/>
  <c r="J141" i="7" s="1"/>
  <c r="G195" i="8"/>
  <c r="K204" i="8"/>
  <c r="I206" i="8"/>
  <c r="G211" i="8"/>
  <c r="K211" i="8" s="1"/>
  <c r="H212" i="8"/>
  <c r="H210" i="8"/>
  <c r="K128" i="8"/>
  <c r="H48" i="8"/>
  <c r="J21" i="8"/>
  <c r="K178" i="7"/>
  <c r="J178" i="7" s="1"/>
  <c r="I58" i="8"/>
  <c r="H78" i="8"/>
  <c r="K78" i="8" s="1"/>
  <c r="G70" i="8"/>
  <c r="K70" i="8" s="1"/>
  <c r="K125" i="8"/>
  <c r="K118" i="8"/>
  <c r="J212" i="8"/>
  <c r="J210" i="8"/>
  <c r="J216" i="8"/>
  <c r="K163" i="8"/>
  <c r="H149" i="7" s="1"/>
  <c r="K198" i="8"/>
  <c r="H168" i="7" s="1"/>
  <c r="K142" i="8"/>
  <c r="H157" i="7" s="1"/>
  <c r="K172" i="8"/>
  <c r="H134" i="7" s="1"/>
  <c r="K22" i="8"/>
  <c r="K15" i="8"/>
  <c r="K5" i="8"/>
  <c r="K49" i="8"/>
  <c r="H19" i="7" s="1"/>
  <c r="K42" i="8"/>
  <c r="H11" i="7" s="1"/>
  <c r="K50" i="8"/>
  <c r="H20" i="7" s="1"/>
  <c r="K8" i="8"/>
  <c r="K48" i="8"/>
  <c r="H18" i="7" s="1"/>
  <c r="K58" i="8"/>
  <c r="H29" i="7" s="1"/>
  <c r="K91" i="8"/>
  <c r="K89" i="8"/>
  <c r="Z35" i="9"/>
  <c r="A102" i="7"/>
  <c r="A93" i="7"/>
  <c r="A84" i="7"/>
  <c r="A75" i="7"/>
  <c r="K108" i="8"/>
  <c r="H56" i="7" s="1"/>
  <c r="K115" i="8"/>
  <c r="K116" i="8"/>
  <c r="K119" i="8"/>
  <c r="K104" i="8"/>
  <c r="H44" i="7" s="1"/>
  <c r="K136" i="8"/>
  <c r="H103" i="7" s="1"/>
  <c r="K185" i="8"/>
  <c r="H151" i="7" s="1"/>
  <c r="K176" i="8"/>
  <c r="H170" i="7" s="1"/>
  <c r="K130" i="8"/>
  <c r="K146" i="8"/>
  <c r="H92" i="7" s="1"/>
  <c r="K193" i="8"/>
  <c r="H123" i="7" s="1"/>
  <c r="K175" i="8"/>
  <c r="H161" i="7" s="1"/>
  <c r="K161" i="8"/>
  <c r="H131" i="7" s="1"/>
  <c r="K154" i="8"/>
  <c r="K131" i="8"/>
  <c r="K192" i="8"/>
  <c r="H114" i="7" s="1"/>
  <c r="K179" i="8"/>
  <c r="H97" i="7" s="1"/>
  <c r="K158" i="8"/>
  <c r="H104" i="7" s="1"/>
  <c r="W14" i="4"/>
  <c r="W11" i="4"/>
  <c r="K217" i="8"/>
  <c r="Q178" i="7"/>
  <c r="R178" i="7" s="1"/>
  <c r="A179" i="7"/>
  <c r="F48" i="9"/>
  <c r="D30" i="5"/>
  <c r="D33" i="5" s="1"/>
  <c r="A174" i="7"/>
  <c r="A176" i="7"/>
  <c r="AV4" i="4"/>
  <c r="W8" i="4"/>
  <c r="W7" i="4"/>
  <c r="W10" i="4"/>
  <c r="A28" i="7"/>
  <c r="A19" i="7"/>
  <c r="A11" i="7"/>
  <c r="A23" i="7"/>
  <c r="A21" i="7"/>
  <c r="A17" i="7"/>
  <c r="A29" i="7"/>
  <c r="A181" i="7"/>
  <c r="A26" i="7"/>
  <c r="A9" i="7"/>
  <c r="A182" i="7"/>
  <c r="A16" i="7"/>
  <c r="A24" i="7"/>
  <c r="A14" i="7"/>
  <c r="A180" i="7"/>
  <c r="A10" i="7"/>
  <c r="A20" i="7"/>
  <c r="A171" i="7"/>
  <c r="A12" i="7"/>
  <c r="A13" i="7"/>
  <c r="A27" i="7"/>
  <c r="A25" i="7"/>
  <c r="A183" i="7"/>
  <c r="A36" i="7"/>
  <c r="H21" i="7"/>
  <c r="K39" i="8"/>
  <c r="H8" i="7" s="1"/>
  <c r="H53" i="8"/>
  <c r="K24" i="7"/>
  <c r="J24" i="7" s="1"/>
  <c r="J53" i="8"/>
  <c r="K53" i="8" s="1"/>
  <c r="H24" i="7" s="1"/>
  <c r="H15" i="7"/>
  <c r="H14" i="7"/>
  <c r="K7" i="8"/>
  <c r="H172" i="7"/>
  <c r="H171" i="7"/>
  <c r="I21" i="8"/>
  <c r="I10" i="8"/>
  <c r="I41" i="8"/>
  <c r="H14" i="8"/>
  <c r="H41" i="8"/>
  <c r="H21" i="8"/>
  <c r="G41" i="8"/>
  <c r="J10" i="8"/>
  <c r="K10" i="8" s="1"/>
  <c r="H180" i="7" s="1"/>
  <c r="J33" i="8"/>
  <c r="K177" i="7"/>
  <c r="K180" i="7"/>
  <c r="J180" i="7" s="1"/>
  <c r="H63" i="8"/>
  <c r="G64" i="8"/>
  <c r="H64" i="8"/>
  <c r="G54" i="8"/>
  <c r="H54" i="8"/>
  <c r="G69" i="8"/>
  <c r="I69" i="8"/>
  <c r="H69" i="8"/>
  <c r="I79" i="8"/>
  <c r="G79" i="8"/>
  <c r="J79" i="8"/>
  <c r="H79" i="8"/>
  <c r="I75" i="8"/>
  <c r="G75" i="8"/>
  <c r="K75" i="8" s="1"/>
  <c r="J75" i="8"/>
  <c r="H71" i="8"/>
  <c r="G71" i="8"/>
  <c r="I71" i="8"/>
  <c r="G80" i="8"/>
  <c r="H80" i="8"/>
  <c r="J80" i="8"/>
  <c r="H86" i="8"/>
  <c r="I86" i="8"/>
  <c r="J86" i="8"/>
  <c r="G86" i="8"/>
  <c r="K86" i="8" s="1"/>
  <c r="J97" i="8"/>
  <c r="H97" i="8"/>
  <c r="K97" i="8" s="1"/>
  <c r="K54" i="7"/>
  <c r="J54" i="7" s="1"/>
  <c r="H114" i="8"/>
  <c r="J114" i="8"/>
  <c r="G114" i="8"/>
  <c r="I114" i="8"/>
  <c r="K82" i="7"/>
  <c r="J82" i="7" s="1"/>
  <c r="J123" i="8"/>
  <c r="G123" i="8"/>
  <c r="I123" i="8"/>
  <c r="H93" i="7"/>
  <c r="J189" i="8"/>
  <c r="I189" i="8"/>
  <c r="G189" i="8"/>
  <c r="H189" i="8"/>
  <c r="K87" i="7"/>
  <c r="J87" i="7" s="1"/>
  <c r="I172" i="8"/>
  <c r="K134" i="7"/>
  <c r="J134" i="7" s="1"/>
  <c r="J162" i="8"/>
  <c r="G162" i="8"/>
  <c r="H162" i="8"/>
  <c r="I162" i="8"/>
  <c r="K140" i="7"/>
  <c r="J140" i="7" s="1"/>
  <c r="K138" i="7"/>
  <c r="J138" i="7" s="1"/>
  <c r="G151" i="8"/>
  <c r="J151" i="8"/>
  <c r="K137" i="7"/>
  <c r="J137" i="7" s="1"/>
  <c r="H151" i="8"/>
  <c r="I151" i="8"/>
  <c r="I147" i="8"/>
  <c r="J147" i="8"/>
  <c r="H147" i="8"/>
  <c r="G147" i="8"/>
  <c r="K102" i="7"/>
  <c r="J102" i="7" s="1"/>
  <c r="K101" i="7"/>
  <c r="J101" i="7" s="1"/>
  <c r="J133" i="8"/>
  <c r="G133" i="8"/>
  <c r="I133" i="8"/>
  <c r="K76" i="7"/>
  <c r="J76" i="7" s="1"/>
  <c r="I17" i="8"/>
  <c r="H17" i="8"/>
  <c r="G29" i="8"/>
  <c r="K29" i="8" s="1"/>
  <c r="J29" i="8"/>
  <c r="J6" i="8"/>
  <c r="J14" i="8"/>
  <c r="K60" i="8"/>
  <c r="H33" i="7" s="1"/>
  <c r="I77" i="8"/>
  <c r="J77" i="8"/>
  <c r="I73" i="8"/>
  <c r="H73" i="8"/>
  <c r="G73" i="8"/>
  <c r="J73" i="8"/>
  <c r="J84" i="8"/>
  <c r="I84" i="8"/>
  <c r="H84" i="8"/>
  <c r="G84" i="8"/>
  <c r="K84" i="8" s="1"/>
  <c r="G81" i="8"/>
  <c r="K81" i="8" s="1"/>
  <c r="J81" i="8"/>
  <c r="H81" i="8"/>
  <c r="I14" i="8"/>
  <c r="H25" i="8"/>
  <c r="H33" i="8"/>
  <c r="G63" i="8"/>
  <c r="K63" i="8" s="1"/>
  <c r="H36" i="7" s="1"/>
  <c r="H66" i="8"/>
  <c r="G66" i="8"/>
  <c r="J64" i="8"/>
  <c r="J54" i="8"/>
  <c r="H77" i="8"/>
  <c r="I81" i="8"/>
  <c r="Z32" i="9"/>
  <c r="A157" i="7"/>
  <c r="A132" i="7"/>
  <c r="A169" i="7"/>
  <c r="A131" i="7"/>
  <c r="A159" i="7"/>
  <c r="A134" i="7"/>
  <c r="A112" i="7"/>
  <c r="A140" i="7"/>
  <c r="A104" i="7"/>
  <c r="A85" i="7"/>
  <c r="A87" i="7"/>
  <c r="A76" i="7"/>
  <c r="D49" i="5"/>
  <c r="F49" i="5" s="1"/>
  <c r="D45" i="5"/>
  <c r="F45" i="5" s="1"/>
  <c r="Z34" i="9"/>
  <c r="A150" i="7"/>
  <c r="A125" i="7"/>
  <c r="A160" i="7"/>
  <c r="A124" i="7"/>
  <c r="A152" i="7"/>
  <c r="A130" i="7"/>
  <c r="A167" i="7"/>
  <c r="A133" i="7"/>
  <c r="A86" i="7"/>
  <c r="A95" i="7"/>
  <c r="D46" i="5"/>
  <c r="F46" i="5" s="1"/>
  <c r="A166" i="7"/>
  <c r="A143" i="7"/>
  <c r="A121" i="7"/>
  <c r="A149" i="7"/>
  <c r="A113" i="7"/>
  <c r="A148" i="7"/>
  <c r="A123" i="7"/>
  <c r="A158" i="7"/>
  <c r="A122" i="7"/>
  <c r="A103" i="7"/>
  <c r="A105" i="7"/>
  <c r="A78" i="7"/>
  <c r="K46" i="7"/>
  <c r="J46" i="7" s="1"/>
  <c r="I94" i="8"/>
  <c r="J94" i="8"/>
  <c r="K45" i="7"/>
  <c r="J45" i="7" s="1"/>
  <c r="H94" i="8"/>
  <c r="H213" i="8"/>
  <c r="J213" i="8"/>
  <c r="I92" i="8"/>
  <c r="J92" i="8"/>
  <c r="K92" i="8" s="1"/>
  <c r="J95" i="8"/>
  <c r="K95" i="8" s="1"/>
  <c r="J105" i="8"/>
  <c r="G105" i="8"/>
  <c r="I105" i="8"/>
  <c r="K150" i="8"/>
  <c r="J165" i="8"/>
  <c r="G165" i="8"/>
  <c r="I165" i="8"/>
  <c r="H165" i="8"/>
  <c r="K167" i="7"/>
  <c r="J167" i="7" s="1"/>
  <c r="H135" i="8"/>
  <c r="G135" i="8"/>
  <c r="J135" i="8"/>
  <c r="K94" i="7"/>
  <c r="J94" i="7" s="1"/>
  <c r="I135" i="8"/>
  <c r="H98" i="8"/>
  <c r="K98" i="8" s="1"/>
  <c r="K67" i="7"/>
  <c r="J67" i="7" s="1"/>
  <c r="J101" i="8"/>
  <c r="K101" i="8" s="1"/>
  <c r="H105" i="8"/>
  <c r="K174" i="8"/>
  <c r="H152" i="7" s="1"/>
  <c r="I167" i="8"/>
  <c r="G167" i="8"/>
  <c r="J167" i="8"/>
  <c r="H167" i="8"/>
  <c r="K84" i="7"/>
  <c r="J84" i="7" s="1"/>
  <c r="I145" i="8"/>
  <c r="J145" i="8"/>
  <c r="K145" i="8" s="1"/>
  <c r="I138" i="8"/>
  <c r="J138" i="8"/>
  <c r="G138" i="8"/>
  <c r="J205" i="8"/>
  <c r="I205" i="8"/>
  <c r="G205" i="8"/>
  <c r="K205" i="8" s="1"/>
  <c r="I207" i="8"/>
  <c r="H207" i="8"/>
  <c r="J207" i="8"/>
  <c r="I213" i="8"/>
  <c r="G103" i="8"/>
  <c r="H103" i="8"/>
  <c r="H107" i="8"/>
  <c r="I107" i="8"/>
  <c r="G107" i="8"/>
  <c r="K195" i="8"/>
  <c r="H141" i="7" s="1"/>
  <c r="G184" i="8"/>
  <c r="H184" i="8"/>
  <c r="J184" i="8"/>
  <c r="K182" i="8"/>
  <c r="H124" i="7" s="1"/>
  <c r="J169" i="8"/>
  <c r="K107" i="7"/>
  <c r="J107" i="7" s="1"/>
  <c r="G169" i="8"/>
  <c r="J156" i="8"/>
  <c r="G156" i="8"/>
  <c r="K156" i="8" s="1"/>
  <c r="H86" i="7" s="1"/>
  <c r="K86" i="7"/>
  <c r="J86" i="7" s="1"/>
  <c r="I156" i="8"/>
  <c r="I140" i="8"/>
  <c r="H140" i="8"/>
  <c r="K140" i="8" s="1"/>
  <c r="H139" i="7" s="1"/>
  <c r="G209" i="8"/>
  <c r="K209" i="8" s="1"/>
  <c r="H209" i="8"/>
  <c r="I209" i="8"/>
  <c r="H216" i="8"/>
  <c r="K216" i="8" s="1"/>
  <c r="G203" i="8"/>
  <c r="K203" i="8" s="1"/>
  <c r="D37" i="8"/>
  <c r="F39" i="5"/>
  <c r="E52" i="5" l="1"/>
  <c r="H111" i="7"/>
  <c r="H110" i="7"/>
  <c r="H73" i="7"/>
  <c r="H72" i="7"/>
  <c r="F50" i="9"/>
  <c r="Y52" i="9"/>
  <c r="H99" i="7"/>
  <c r="H100" i="7"/>
  <c r="K212" i="8"/>
  <c r="H127" i="7"/>
  <c r="H126" i="7"/>
  <c r="K71" i="8"/>
  <c r="M47" i="9"/>
  <c r="F53" i="9"/>
  <c r="K134" i="8"/>
  <c r="H85" i="7" s="1"/>
  <c r="A178" i="7"/>
  <c r="M46" i="9"/>
  <c r="K6" i="8"/>
  <c r="A175" i="7"/>
  <c r="Y53" i="9"/>
  <c r="K16" i="8"/>
  <c r="D40" i="5"/>
  <c r="A107" i="7"/>
  <c r="A89" i="7"/>
  <c r="D42" i="5"/>
  <c r="H61" i="7"/>
  <c r="H60" i="7"/>
  <c r="H75" i="7"/>
  <c r="H74" i="7"/>
  <c r="Y51" i="9"/>
  <c r="Z51" i="9"/>
  <c r="H63" i="7"/>
  <c r="H64" i="7"/>
  <c r="P184" i="7"/>
  <c r="U184" i="7" s="1"/>
  <c r="Q179" i="7"/>
  <c r="V179" i="7" s="1"/>
  <c r="K36" i="8"/>
  <c r="K41" i="8"/>
  <c r="H10" i="7" s="1"/>
  <c r="F51" i="9"/>
  <c r="K126" i="8"/>
  <c r="K152" i="8"/>
  <c r="K103" i="8"/>
  <c r="H41" i="7" s="1"/>
  <c r="K94" i="8"/>
  <c r="K73" i="8"/>
  <c r="K14" i="8"/>
  <c r="H177" i="7" s="1"/>
  <c r="H154" i="7"/>
  <c r="H153" i="7"/>
  <c r="H165" i="7"/>
  <c r="H164" i="7"/>
  <c r="H145" i="7"/>
  <c r="H144" i="7"/>
  <c r="H175" i="7"/>
  <c r="H174" i="7"/>
  <c r="V178" i="7"/>
  <c r="R184" i="7"/>
  <c r="AW4" i="4"/>
  <c r="AW11" i="4"/>
  <c r="AY11" i="4" s="1"/>
  <c r="AZ11" i="4" s="1"/>
  <c r="AW12" i="4"/>
  <c r="AY12" i="4" s="1"/>
  <c r="AZ12" i="4" s="1"/>
  <c r="AW8" i="4"/>
  <c r="AY8" i="4" s="1"/>
  <c r="AZ8" i="4" s="1"/>
  <c r="AW16" i="4"/>
  <c r="AY16" i="4" s="1"/>
  <c r="AZ16" i="4" s="1"/>
  <c r="AW13" i="4"/>
  <c r="AY13" i="4" s="1"/>
  <c r="AZ13" i="4" s="1"/>
  <c r="AW7" i="4"/>
  <c r="AY7" i="4" s="1"/>
  <c r="AZ7" i="4" s="1"/>
  <c r="AW15" i="4"/>
  <c r="AY15" i="4" s="1"/>
  <c r="AZ15" i="4" s="1"/>
  <c r="AW14" i="4"/>
  <c r="AY14" i="4" s="1"/>
  <c r="AZ14" i="4" s="1"/>
  <c r="AW9" i="4"/>
  <c r="AY9" i="4" s="1"/>
  <c r="AZ9" i="4" s="1"/>
  <c r="AW10" i="4"/>
  <c r="AY10" i="4" s="1"/>
  <c r="AZ10" i="4" s="1"/>
  <c r="W16" i="4"/>
  <c r="A15" i="7" s="1"/>
  <c r="H49" i="7"/>
  <c r="H48" i="7"/>
  <c r="H46" i="7"/>
  <c r="H45" i="7"/>
  <c r="H54" i="7"/>
  <c r="H55" i="7"/>
  <c r="H128" i="7"/>
  <c r="H129" i="7"/>
  <c r="K184" i="8"/>
  <c r="H142" i="7" s="1"/>
  <c r="H58" i="7"/>
  <c r="H57" i="7"/>
  <c r="K135" i="8"/>
  <c r="H94" i="7" s="1"/>
  <c r="N173" i="7"/>
  <c r="T173" i="7" s="1"/>
  <c r="U4" i="7" s="1"/>
  <c r="Z38" i="9"/>
  <c r="K189" i="8"/>
  <c r="H87" i="7" s="1"/>
  <c r="K54" i="8"/>
  <c r="H25" i="7" s="1"/>
  <c r="H83" i="7"/>
  <c r="H84" i="7"/>
  <c r="K165" i="8"/>
  <c r="H167" i="7" s="1"/>
  <c r="K105" i="8"/>
  <c r="H47" i="7" s="1"/>
  <c r="K66" i="8"/>
  <c r="H38" i="7" s="1"/>
  <c r="K133" i="8"/>
  <c r="H76" i="7" s="1"/>
  <c r="K147" i="8"/>
  <c r="K151" i="8"/>
  <c r="K123" i="8"/>
  <c r="K114" i="8"/>
  <c r="K80" i="8"/>
  <c r="K169" i="8"/>
  <c r="H107" i="7" s="1"/>
  <c r="K107" i="8"/>
  <c r="H53" i="7" s="1"/>
  <c r="K138" i="8"/>
  <c r="H121" i="7" s="1"/>
  <c r="K167" i="8"/>
  <c r="H89" i="7" s="1"/>
  <c r="H67" i="7"/>
  <c r="H66" i="7"/>
  <c r="K162" i="8"/>
  <c r="H140" i="7" s="1"/>
  <c r="H135" i="7"/>
  <c r="H136" i="7"/>
  <c r="K79" i="8"/>
  <c r="K69" i="8"/>
  <c r="H176" i="7" s="1"/>
  <c r="K64" i="8"/>
  <c r="D76" i="8"/>
  <c r="F42" i="5"/>
  <c r="D212" i="8"/>
  <c r="F40" i="5"/>
  <c r="D199" i="8"/>
  <c r="F52" i="5" l="1"/>
  <c r="H146" i="7"/>
  <c r="H147" i="7"/>
  <c r="H108" i="7"/>
  <c r="H109" i="7"/>
  <c r="R179" i="7"/>
  <c r="AY4" i="4"/>
  <c r="A173" i="7"/>
  <c r="A184" i="7" s="1"/>
  <c r="B33" i="15" s="1"/>
  <c r="H102" i="7"/>
  <c r="H101" i="7"/>
  <c r="D34" i="5"/>
  <c r="H137" i="7"/>
  <c r="H138" i="7"/>
  <c r="H82" i="7"/>
  <c r="H81" i="7"/>
  <c r="D73" i="8"/>
  <c r="D103" i="8"/>
  <c r="B41" i="7"/>
  <c r="C3" i="9" l="1"/>
  <c r="C1" i="9"/>
  <c r="L41" i="7"/>
  <c r="J41" i="7" s="1"/>
  <c r="B42" i="15"/>
  <c r="B43" i="15"/>
  <c r="B31" i="15"/>
  <c r="B32" i="15"/>
  <c r="B40" i="15"/>
  <c r="B30" i="15"/>
  <c r="B34" i="15"/>
  <c r="R43" i="9"/>
  <c r="B37" i="15"/>
  <c r="B41" i="15"/>
  <c r="B39" i="15"/>
  <c r="B29" i="15"/>
  <c r="B2" i="11"/>
  <c r="B35" i="15"/>
  <c r="B38" i="15"/>
  <c r="B36" i="15"/>
  <c r="D72" i="8"/>
  <c r="D217" i="8"/>
  <c r="D71" i="8"/>
  <c r="K50" i="9" l="1"/>
  <c r="B3" i="11"/>
  <c r="D216" i="8"/>
  <c r="D8" i="9" l="1"/>
</calcChain>
</file>

<file path=xl/sharedStrings.xml><?xml version="1.0" encoding="utf-8"?>
<sst xmlns="http://schemas.openxmlformats.org/spreadsheetml/2006/main" count="1966" uniqueCount="1297">
  <si>
    <t>Message</t>
  </si>
  <si>
    <t>Details</t>
  </si>
  <si>
    <t>Version #4 - 2018/11/28</t>
  </si>
  <si>
    <t>TRAVEL EXPENSE SUMMARY</t>
  </si>
  <si>
    <r>
      <rPr>
        <b/>
        <sz val="7.5"/>
        <color theme="1"/>
        <rFont val="Arial"/>
        <family val="2"/>
      </rPr>
      <t xml:space="preserve">Authorized submissions to: </t>
    </r>
    <r>
      <rPr>
        <sz val="7.5"/>
        <color theme="1"/>
        <rFont val="Arial"/>
        <family val="2"/>
      </rPr>
      <t xml:space="preserve">
NOSM at Lakehead, Finance - BSC
955 Oliver Road
Thunder Bay, ON  P7B 5E1
</t>
    </r>
    <r>
      <rPr>
        <b/>
        <sz val="7.5"/>
        <color theme="1"/>
        <rFont val="Arial"/>
        <family val="2"/>
      </rPr>
      <t>-or-</t>
    </r>
    <r>
      <rPr>
        <sz val="7.5"/>
        <color theme="1"/>
        <rFont val="Arial"/>
        <family val="2"/>
      </rPr>
      <t xml:space="preserve">
NOSM at Laurentian, Finance - MSE
935 Ramsey Lake Road
Sudbury, ON  P3E 2C6
</t>
    </r>
    <r>
      <rPr>
        <b/>
        <sz val="7.5"/>
        <color theme="1"/>
        <rFont val="Arial"/>
        <family val="2"/>
      </rPr>
      <t>Questions &amp; Inquries:</t>
    </r>
    <r>
      <rPr>
        <sz val="7.5"/>
        <color theme="1"/>
        <rFont val="Arial"/>
        <family val="2"/>
      </rPr>
      <t xml:space="preserve">   accountspayable@nosm.ca</t>
    </r>
  </si>
  <si>
    <t>Date Stamp</t>
  </si>
  <si>
    <t>Date</t>
  </si>
  <si>
    <t>$CAD or $CAD Equivalent</t>
  </si>
  <si>
    <t>Eligible Amount ($CAD)</t>
  </si>
  <si>
    <t>Total</t>
  </si>
  <si>
    <t>Prefix</t>
  </si>
  <si>
    <t>Ms.</t>
  </si>
  <si>
    <t>Description</t>
  </si>
  <si>
    <t>B</t>
  </si>
  <si>
    <t>L</t>
  </si>
  <si>
    <t>D</t>
  </si>
  <si>
    <t>First Name</t>
  </si>
  <si>
    <t>Hailey</t>
  </si>
  <si>
    <t>Completing a University of Toronto RS Clinical Placement</t>
  </si>
  <si>
    <t>Last Name</t>
  </si>
  <si>
    <t>Masiero</t>
  </si>
  <si>
    <t>Address</t>
  </si>
  <si>
    <t>935 Ramsey Lake Road</t>
  </si>
  <si>
    <t>Additional Details</t>
  </si>
  <si>
    <t>City</t>
  </si>
  <si>
    <t>Sudbury</t>
  </si>
  <si>
    <t>Province | Postal</t>
  </si>
  <si>
    <t>ON</t>
  </si>
  <si>
    <t>P3C 0C7</t>
  </si>
  <si>
    <t>Address Type</t>
  </si>
  <si>
    <t>Home</t>
  </si>
  <si>
    <t>hsplacements@nosm.ca</t>
  </si>
  <si>
    <t>DOB | Phone #</t>
  </si>
  <si>
    <t>Portfolio</t>
  </si>
  <si>
    <t>Postgraduate Education (PGE)</t>
  </si>
  <si>
    <t>Name</t>
  </si>
  <si>
    <t>Payee Type</t>
  </si>
  <si>
    <t>HS &amp; IPE Learner</t>
  </si>
  <si>
    <t>Payment Options</t>
  </si>
  <si>
    <t>Direct Deposit 
(previously submitted)</t>
  </si>
  <si>
    <t>Phone #</t>
  </si>
  <si>
    <t>Meals Total</t>
  </si>
  <si>
    <t>Expense Type</t>
  </si>
  <si>
    <t>From</t>
  </si>
  <si>
    <t>To</t>
  </si>
  <si>
    <t>Receipt Amount</t>
  </si>
  <si>
    <t>Leaving From</t>
  </si>
  <si>
    <t>Toronto</t>
  </si>
  <si>
    <t>Trans-Max Mileage</t>
  </si>
  <si>
    <t>Round Trip travel to placement</t>
  </si>
  <si>
    <t>Thunder Bay</t>
  </si>
  <si>
    <t>Going To</t>
  </si>
  <si>
    <t>Accomm-Hotel/Motel</t>
  </si>
  <si>
    <t>Comfort Inn Sault Ste Marie</t>
  </si>
  <si>
    <t>Range</t>
  </si>
  <si>
    <t>Domestic (Ontario only)</t>
  </si>
  <si>
    <t>Trans-Mileage</t>
  </si>
  <si>
    <t>Intercommunity Travel</t>
  </si>
  <si>
    <t xml:space="preserve">Residence </t>
  </si>
  <si>
    <t>Placement</t>
  </si>
  <si>
    <t>Trip Type</t>
  </si>
  <si>
    <t>Round-trip</t>
  </si>
  <si>
    <t>Travel Start Date</t>
  </si>
  <si>
    <t>Travel End Date</t>
  </si>
  <si>
    <t>Claim Type</t>
  </si>
  <si>
    <t>Select</t>
  </si>
  <si>
    <t>Advance Amount</t>
  </si>
  <si>
    <t>Purpose</t>
  </si>
  <si>
    <t>Requested By</t>
  </si>
  <si>
    <t>Other Expenses Total</t>
  </si>
  <si>
    <r>
      <t xml:space="preserve">Maximum Amount </t>
    </r>
    <r>
      <rPr>
        <b/>
        <sz val="8"/>
        <rFont val="Arial"/>
        <family val="2"/>
      </rPr>
      <t>(if applicable)</t>
    </r>
  </si>
  <si>
    <t>GL #1</t>
  </si>
  <si>
    <t>Role</t>
  </si>
  <si>
    <t>Signature</t>
  </si>
  <si>
    <t>Reason</t>
  </si>
  <si>
    <t>GL #2</t>
  </si>
  <si>
    <t>Submission</t>
  </si>
  <si>
    <t>GL #3</t>
  </si>
  <si>
    <t>GL #4</t>
  </si>
  <si>
    <t>Total Travel Eligible</t>
  </si>
  <si>
    <t>Approval</t>
  </si>
  <si>
    <t>Less: Advance</t>
  </si>
  <si>
    <t>Total Payable</t>
  </si>
  <si>
    <t>Total Expenses Claimed</t>
  </si>
  <si>
    <t>Fed</t>
  </si>
  <si>
    <t>Prov</t>
  </si>
  <si>
    <t>Total Expenses Eligible</t>
  </si>
  <si>
    <r>
      <rPr>
        <b/>
        <u/>
        <sz val="7.5"/>
        <color theme="1"/>
        <rFont val="Arial"/>
        <family val="2"/>
      </rPr>
      <t>PRIVACY STATEMENT</t>
    </r>
    <r>
      <rPr>
        <sz val="7.5"/>
        <color theme="1"/>
        <rFont val="Arial"/>
        <family val="2"/>
      </rPr>
      <t>: Protection of Personal Information: The Northern Ontario School of Medicine protects your privacy and your personal information.  The personal information requested on this form is collected under the authority of the Letters Patent of the Northern Ontario School of Medicine dated November 15, 2002, and in accordance with the Freedom of Information and Protection of the Privacy Act.  Personal information collected is used by the School for the purposes of executing various functions and activities related to Administration processes. Users of this information are the Finance Unit of the Office of the Chief Administrative Officer.  Please direct any questions about this collection to the Director of Finance, Northern Ontario School of Medicine, 955 Oliver Road, Thunder Bay, Ontario, P7B 5E1, Telephone: (807) 766-7307.</t>
    </r>
  </si>
  <si>
    <t>Rebate</t>
  </si>
  <si>
    <t>Incurred</t>
  </si>
  <si>
    <t>MILEAGE LOOK-UP</t>
  </si>
  <si>
    <t>Community</t>
  </si>
  <si>
    <t>Major Centre / Campus</t>
  </si>
  <si>
    <t>One-way</t>
  </si>
  <si>
    <t>Appendix F - Kilometer Matrix (One-way)</t>
  </si>
  <si>
    <t>Mileage amounts in the table below are one-way and are rounded to the nearest 5 km. They use the shortest (not necessarily the fastest) entirely Canadian route of travel.</t>
  </si>
  <si>
    <t>If your particular mileage is not listed below, include a Google Maps travel summary to support your claimed mileage.</t>
  </si>
  <si>
    <t xml:space="preserve">Google Maps Link: </t>
  </si>
  <si>
    <t>Hamilton</t>
  </si>
  <si>
    <t>Kingston</t>
  </si>
  <si>
    <t>London</t>
  </si>
  <si>
    <t>Ottawa</t>
  </si>
  <si>
    <t xml:space="preserve">Sudbury </t>
  </si>
  <si>
    <t xml:space="preserve">Atikokan </t>
  </si>
  <si>
    <t xml:space="preserve">Batchewana F.N. </t>
  </si>
  <si>
    <t xml:space="preserve">Blind River </t>
  </si>
  <si>
    <t xml:space="preserve">Bracebridge </t>
  </si>
  <si>
    <t xml:space="preserve">Burk's Falls </t>
  </si>
  <si>
    <t xml:space="preserve">Callander </t>
  </si>
  <si>
    <t xml:space="preserve">Cochrane </t>
  </si>
  <si>
    <t xml:space="preserve">Constance Lake F.N. </t>
  </si>
  <si>
    <t xml:space="preserve">Dryden </t>
  </si>
  <si>
    <t xml:space="preserve">Elliot Lake </t>
  </si>
  <si>
    <t xml:space="preserve">Emo </t>
  </si>
  <si>
    <t xml:space="preserve">Englehart </t>
  </si>
  <si>
    <t xml:space="preserve">Espanola </t>
  </si>
  <si>
    <t xml:space="preserve">Fort Frances </t>
  </si>
  <si>
    <t xml:space="preserve">Fort William F.N. </t>
  </si>
  <si>
    <t xml:space="preserve">Garden River F.N. </t>
  </si>
  <si>
    <t>Geraldton</t>
  </si>
  <si>
    <t xml:space="preserve">Gore Bay </t>
  </si>
  <si>
    <t>X</t>
  </si>
  <si>
    <t xml:space="preserve">Hearst </t>
  </si>
  <si>
    <t xml:space="preserve">Hornepayne </t>
  </si>
  <si>
    <t xml:space="preserve">Huntsville </t>
  </si>
  <si>
    <t xml:space="preserve">Iroquois Falls </t>
  </si>
  <si>
    <t xml:space="preserve">Kapuskasing </t>
  </si>
  <si>
    <t xml:space="preserve">Kenora </t>
  </si>
  <si>
    <t xml:space="preserve">Kirkland Lake </t>
  </si>
  <si>
    <t xml:space="preserve">Lac Seul F.N. </t>
  </si>
  <si>
    <t xml:space="preserve">Little Current </t>
  </si>
  <si>
    <t xml:space="preserve">Manitowaning </t>
  </si>
  <si>
    <t xml:space="preserve">Marathon </t>
  </si>
  <si>
    <t xml:space="preserve">Matheson </t>
  </si>
  <si>
    <t xml:space="preserve">Mattagami Lake F.N. </t>
  </si>
  <si>
    <t xml:space="preserve">Mattawa </t>
  </si>
  <si>
    <t xml:space="preserve">M'Chigeeng F.N. </t>
  </si>
  <si>
    <t>Midland</t>
  </si>
  <si>
    <t xml:space="preserve">Mindemoya </t>
  </si>
  <si>
    <t>New Liskeard</t>
  </si>
  <si>
    <t xml:space="preserve">Nipigon </t>
  </si>
  <si>
    <t xml:space="preserve">Nipissing F.N. </t>
  </si>
  <si>
    <t xml:space="preserve">North Bay </t>
  </si>
  <si>
    <t>Ojibways of the Pic River F.N.</t>
  </si>
  <si>
    <t>Parry Sound</t>
  </si>
  <si>
    <t xml:space="preserve">Powassan </t>
  </si>
  <si>
    <t xml:space="preserve">Rainy River </t>
  </si>
  <si>
    <t xml:space="preserve">Red Lake </t>
  </si>
  <si>
    <t xml:space="preserve">Richards Landing </t>
  </si>
  <si>
    <t xml:space="preserve">Sagamok Anishinabek </t>
  </si>
  <si>
    <t xml:space="preserve">Sault Ste. Marie </t>
  </si>
  <si>
    <t xml:space="preserve">Serpent River F.N. </t>
  </si>
  <si>
    <t>Sioux Lookout</t>
  </si>
  <si>
    <t xml:space="preserve">Smooth Rock Falls </t>
  </si>
  <si>
    <t xml:space="preserve">Sturgeon Falls </t>
  </si>
  <si>
    <t xml:space="preserve">Temagami </t>
  </si>
  <si>
    <t xml:space="preserve">Temagami F.N. </t>
  </si>
  <si>
    <t>Temiskaming Shores</t>
  </si>
  <si>
    <t xml:space="preserve">Terrace Bay </t>
  </si>
  <si>
    <t xml:space="preserve">Thessalon </t>
  </si>
  <si>
    <t xml:space="preserve">Timmins </t>
  </si>
  <si>
    <t xml:space="preserve">Wawa </t>
  </si>
  <si>
    <t xml:space="preserve">Whitefish Lake F.N. </t>
  </si>
  <si>
    <t xml:space="preserve">Whitefish River F.N. </t>
  </si>
  <si>
    <t>Status</t>
  </si>
  <si>
    <t>Error Hierarchy</t>
  </si>
  <si>
    <t>FieldName</t>
  </si>
  <si>
    <t>Area</t>
  </si>
  <si>
    <t>Error Name</t>
  </si>
  <si>
    <t>Description of Error</t>
  </si>
  <si>
    <t>Value</t>
  </si>
  <si>
    <t>Error Evaluation</t>
  </si>
  <si>
    <t>Message Bar Display</t>
  </si>
  <si>
    <t>Field Bar Display</t>
  </si>
  <si>
    <t>OR(Others_Date02=0,Others_Date02="",Others_Date02=Dropdown_NotSelectedValue)</t>
  </si>
  <si>
    <t>Number of Misses</t>
  </si>
  <si>
    <t>Search with this column</t>
  </si>
  <si>
    <t>Ensure named ranges refer to only the left most cell of a merged area.</t>
  </si>
  <si>
    <t>TRUE=RED
FALSE=GREEN</t>
  </si>
  <si>
    <t>TRUE=FAINT YELLOW
FALSE=FAINT GREEN</t>
  </si>
  <si>
    <t>Messaging Length Errors</t>
  </si>
  <si>
    <t>EntryFormula</t>
  </si>
  <si>
    <t>ConstantFormula</t>
  </si>
  <si>
    <t>Order List Here</t>
  </si>
  <si>
    <t>Calc</t>
  </si>
  <si>
    <t>Entry</t>
  </si>
  <si>
    <t>MAX LENGTH MESSAGE LINE</t>
  </si>
  <si>
    <t>Relevant Cell Value</t>
  </si>
  <si>
    <t>Hierarchy (Original)</t>
  </si>
  <si>
    <t>Hierarchy</t>
  </si>
  <si>
    <t>Section #</t>
  </si>
  <si>
    <t>Section Name</t>
  </si>
  <si>
    <t>Manual Hierarchy</t>
  </si>
  <si>
    <t>Attention To Reference Type (Formula)</t>
  </si>
  <si>
    <t>Attention To Named Range</t>
  </si>
  <si>
    <t>Used Reference</t>
  </si>
  <si>
    <t>'Attention To' Refence</t>
  </si>
  <si>
    <t>Manual Reference</t>
  </si>
  <si>
    <t>Message Bar Colour</t>
  </si>
  <si>
    <t>Details Explanation (Line #1)</t>
  </si>
  <si>
    <t>Details Explanation (Line #2)</t>
  </si>
  <si>
    <t>Details Combined</t>
  </si>
  <si>
    <t>Field Details Colour</t>
  </si>
  <si>
    <t>Message Bar Length</t>
  </si>
  <si>
    <t>Details 1 Length</t>
  </si>
  <si>
    <t>Details 2 Length</t>
  </si>
  <si>
    <t>Brings attention to #REF! error most likely caused by cutting or copying and pasting. =SUMPRODUCT(--ISERR(WholeForm))&gt;0. Could not get to work due to issues with circular references. This error would need to exist outside of this table to function correctly (ie. parse through any 'sheet errors' before moving to this table).</t>
  </si>
  <si>
    <t>Reference Error found ("#REF!") in one or more cells.</t>
  </si>
  <si>
    <t>This error is caused by using "Cut &amp; Paste" or "Copy &amp; Paste" as opposed to "Copy &amp; Paste Values".</t>
  </si>
  <si>
    <t>Undo' your work until the error is resolved.</t>
  </si>
  <si>
    <t>Field01_Prefix</t>
  </si>
  <si>
    <t>Prefix is blank</t>
  </si>
  <si>
    <t>Enter 'Prefix'.</t>
  </si>
  <si>
    <t xml:space="preserve">This is a free text field with a 15 character limit. </t>
  </si>
  <si>
    <t>Field02_FirstName</t>
  </si>
  <si>
    <t>FirstName is blank</t>
  </si>
  <si>
    <t>Enter 'First Name'.</t>
  </si>
  <si>
    <t xml:space="preserve">This is a free text field with a 40 character limit. </t>
  </si>
  <si>
    <t>Field03_LastName</t>
  </si>
  <si>
    <t>Last name is blank</t>
  </si>
  <si>
    <t>Enter 'Last Name'.</t>
  </si>
  <si>
    <t>Field04_Address</t>
  </si>
  <si>
    <t>Address is blank</t>
  </si>
  <si>
    <t>Enter 'Address'.</t>
  </si>
  <si>
    <t>If details of your address do not fit in this field, include them in the 'Additional Details' field.</t>
  </si>
  <si>
    <t>Field05_City</t>
  </si>
  <si>
    <t>City is blank</t>
  </si>
  <si>
    <t>Enter 'City'.</t>
  </si>
  <si>
    <t>Field06A_Province</t>
  </si>
  <si>
    <t>Province is blank</t>
  </si>
  <si>
    <t>Select 'Province'.</t>
  </si>
  <si>
    <t>If your address is in Canada, select the 'Province' abbreviation from the in-cell dropdown list.</t>
  </si>
  <si>
    <t>If your address is outside of Canada, select 'Not in Canada' and include your country and postal code in the 'Additional Details' field.</t>
  </si>
  <si>
    <t>Field06B_PostalCode</t>
  </si>
  <si>
    <t>Postal Code is blank</t>
  </si>
  <si>
    <t>Enter 'Postal Code'.</t>
  </si>
  <si>
    <t>Enter a valid 7 character Canadian postal code in the format "&amp;#&amp; #&amp;#" where '&amp;' are letters and '#' are numbers.</t>
  </si>
  <si>
    <t>Ensure that the space is also included.</t>
  </si>
  <si>
    <t>Postal Code is incorrect format</t>
  </si>
  <si>
    <t>Adjust 'Postal Code' to a valid format.</t>
  </si>
  <si>
    <t>Field07A_AddressType</t>
  </si>
  <si>
    <t>Address Type is blank</t>
  </si>
  <si>
    <t>Select 'Address Type'.</t>
  </si>
  <si>
    <t>Select an 'Address Type' from the in-cell dropdown list.</t>
  </si>
  <si>
    <t>Field07B_Email</t>
  </si>
  <si>
    <t>Email is blank</t>
  </si>
  <si>
    <t>Enter 'Email'.</t>
  </si>
  <si>
    <t>Enter a valid email address. It must include an '@' symbol, a period ' . ' after the '@' symbol, and at least two characters after the period.</t>
  </si>
  <si>
    <t>If you do not have an email address, enter the email address of your NOSM contact.</t>
  </si>
  <si>
    <t>Field07C_DOB</t>
  </si>
  <si>
    <t>Date of Birth is blank</t>
  </si>
  <si>
    <t>Enter 'D.O.B.' (date of birth).</t>
  </si>
  <si>
    <t>Enter your birthdate in any format recognizable by Excel.</t>
  </si>
  <si>
    <t>For example, it could be entered in full (ie. January 1, 2000) or it can be entered as DD/MM/YY or YYYY/MM/DD.</t>
  </si>
  <si>
    <t>Field07D_Phone</t>
  </si>
  <si>
    <t>Phone # is blank</t>
  </si>
  <si>
    <t>Enter 'Phone Number'.</t>
  </si>
  <si>
    <t xml:space="preserve">Enter a 10 digit phone number. This is a 3 digit area code and a 7 digit phone number. </t>
  </si>
  <si>
    <t>Enter the number only without any spaces or special characters (ie. 1234567890). The field will format automatically to '(123) 456-7890'.</t>
  </si>
  <si>
    <t>Field08_Portfolio</t>
  </si>
  <si>
    <t>Submitting Portfolio is blank</t>
  </si>
  <si>
    <t>Select 'Submitting Portfolio'</t>
  </si>
  <si>
    <t>Select a 'Submitting Portfolio' from the in-cell dropdown list.</t>
  </si>
  <si>
    <t>Field09_PayeeType</t>
  </si>
  <si>
    <t>Payee Type is blank</t>
  </si>
  <si>
    <t>Select 'Payee Type'.</t>
  </si>
  <si>
    <t>Select a 'Payee Type' from the in-cell dropdown list.</t>
  </si>
  <si>
    <t xml:space="preserve">Payee Type is not listed item. </t>
  </si>
  <si>
    <t xml:space="preserve">Adjust 'Payee Type' to valid value. </t>
  </si>
  <si>
    <t xml:space="preserve">The current value is not an item from this list. </t>
  </si>
  <si>
    <t>Field10_PaymentOption</t>
  </si>
  <si>
    <t>Payment Option is blank</t>
  </si>
  <si>
    <t>Select 'Payment Option'.</t>
  </si>
  <si>
    <t>Select a 'Payment Option' from the in-cell dropdown list.</t>
  </si>
  <si>
    <t>Field11_DepartureCity</t>
  </si>
  <si>
    <t>Departure location is blank</t>
  </si>
  <si>
    <t>Enter 'Leaving From'.</t>
  </si>
  <si>
    <t>This is the departure location for your travel.</t>
  </si>
  <si>
    <t>Field12_DestinationCity</t>
  </si>
  <si>
    <t>Destination is blank</t>
  </si>
  <si>
    <t>Enter 'Going To'.</t>
  </si>
  <si>
    <t>This is the destination for your travel.</t>
  </si>
  <si>
    <t>Field13_TravelScope</t>
  </si>
  <si>
    <t>Range is blank</t>
  </si>
  <si>
    <t>Select 'Range'.</t>
  </si>
  <si>
    <t>Select 'Range' from the in-cell dropdown list.</t>
  </si>
  <si>
    <t>This field is required to determine HST rebate rates and eligibility.</t>
  </si>
  <si>
    <t>Field14_TripType</t>
  </si>
  <si>
    <t>Trip Type is blank</t>
  </si>
  <si>
    <t>Select 'Trip Type'.</t>
  </si>
  <si>
    <t>Select 'Trip Type' from the in-cell dropdown list.</t>
  </si>
  <si>
    <t>This field differentiates between 'One-way' or 'Round-trip' travel.</t>
  </si>
  <si>
    <t>Field15_TravelStartDate</t>
  </si>
  <si>
    <t>Start Date is blank</t>
  </si>
  <si>
    <t>Enter 'Travel Start Date'.</t>
  </si>
  <si>
    <t>Enter a 'Travel Start Date' in any format recognizable by Excel.</t>
  </si>
  <si>
    <t>Field16_TravelEndDate</t>
  </si>
  <si>
    <t>End Date is blank</t>
  </si>
  <si>
    <t>Select or enter 'Travel End Date'.</t>
  </si>
  <si>
    <t>Select a 'Travel End Date' from the in-cell dropdown list.</t>
  </si>
  <si>
    <t xml:space="preserve">Travel End Date must be within 60 days of 'Travel Start Date'. Ensure you are submitting separate travel claims for each travel occurrence. </t>
  </si>
  <si>
    <t>$C$31,$C$32</t>
  </si>
  <si>
    <t>End Date is before start date</t>
  </si>
  <si>
    <t>Correct 'Travel Start Date' and/or 'Travel End Date'.</t>
  </si>
  <si>
    <t>The 'Travel Start Date' is after the 'Travel End Date'.</t>
  </si>
  <si>
    <t>Correct the dates to ensure that the 'Travel End Date' is after the 'Travel Start Date'.</t>
  </si>
  <si>
    <t>End Date is &gt; 60 days after start date</t>
  </si>
  <si>
    <t xml:space="preserve">Ensure that 'Travel End Date' is no greater than 60 days from the 'Travel Start Date'. </t>
  </si>
  <si>
    <t>If you are attempting to claim a trip longer than 60 days, please submit two separate one-way claims.</t>
  </si>
  <si>
    <t>Field17_ClaimType</t>
  </si>
  <si>
    <t>Claim Type is blank</t>
  </si>
  <si>
    <t>Select 'Claim Type'.</t>
  </si>
  <si>
    <t>Select a 'Claim Type' from the in-cell dropdown list.</t>
  </si>
  <si>
    <t>The 'Claim Type' field differentiates between a travel advance and a final claim.</t>
  </si>
  <si>
    <t>Field18_TravelAdvanceAmount</t>
  </si>
  <si>
    <t>Travel Advance is blank</t>
  </si>
  <si>
    <t>Enter 'Travel Advance Amount'.</t>
  </si>
  <si>
    <t>Enter the amount of the 'Travel Advance' you received with respect to this trip.</t>
  </si>
  <si>
    <t>Field19_Purpose</t>
  </si>
  <si>
    <t>Purpose is blank</t>
  </si>
  <si>
    <t>Select 'Purpose'.</t>
  </si>
  <si>
    <t>Select a 'Purpose' from the in-cell dropdown list. If this is not Conference Travel, select 'Other'.</t>
  </si>
  <si>
    <t>This field is to help determine whether or not you need to include an 'Applicanation for Conference Attendance' with your claim.</t>
  </si>
  <si>
    <t>Field20_RequestedBy</t>
  </si>
  <si>
    <t>Requester is blank</t>
  </si>
  <si>
    <t>Select 'Requested By'</t>
  </si>
  <si>
    <t>Select who conference travel was 'Requested By' from the in-cell dropdwn list.</t>
  </si>
  <si>
    <t>This field identifies whether or not conference travel was intitiated by the organization or the payee to determine the documentation required.</t>
  </si>
  <si>
    <t>Field21_Description</t>
  </si>
  <si>
    <t>Purpose/Reason for Travel is blank</t>
  </si>
  <si>
    <t>Enter a 'Description'.</t>
  </si>
  <si>
    <t>Enter a 'Description' of why the travel is occuring.</t>
  </si>
  <si>
    <t xml:space="preserve">This is a free text field with a 200 character limit. </t>
  </si>
  <si>
    <t>Field23_ContactName</t>
  </si>
  <si>
    <t>Contact Name is blank (when other info entered)</t>
  </si>
  <si>
    <t>Enter 'Contact Name'.</t>
  </si>
  <si>
    <t>Enter a first and last name for the contact associated with the email and/or phone number entered.</t>
  </si>
  <si>
    <t>Field24_ContactEmail</t>
  </si>
  <si>
    <t>Contact Email is blank (when other info entered)</t>
  </si>
  <si>
    <t>Enter 'Contact Email'.</t>
  </si>
  <si>
    <t>Field25_ContactPhone</t>
  </si>
  <si>
    <t>Contact Phone # is blank (when other info entered)</t>
  </si>
  <si>
    <t>Enter 'Contact Phone Number'</t>
  </si>
  <si>
    <t xml:space="preserve">Enter a 10 digit phone number associated with the 'Contact' identified. This is a 3 digit area code and a 7 digit phone number. </t>
  </si>
  <si>
    <t>ReceiptHeaders</t>
  </si>
  <si>
    <t>No receipt information entered</t>
  </si>
  <si>
    <t>Begin filling out either the '5. Meals' table or the '6. Other Expenses' table.</t>
  </si>
  <si>
    <t>Meals_DuplicateDates</t>
  </si>
  <si>
    <t>Meal Duplicate Values</t>
  </si>
  <si>
    <t>The travel date for meals dates has been used more than once.</t>
  </si>
  <si>
    <t>Adjust the 'Meal Dates' so that each meal date is unique.</t>
  </si>
  <si>
    <t>Meals_Date01</t>
  </si>
  <si>
    <t>Meal 1 Date Error Blank</t>
  </si>
  <si>
    <t>Select 'Meal Date' to match entered amount.</t>
  </si>
  <si>
    <t>Select date from in-cell dropdown list.</t>
  </si>
  <si>
    <t>Date must be between 'Travel Start Date' and 'Travel End Date'</t>
  </si>
  <si>
    <t>Meal 1 Date Error (Not within Travel Dates)</t>
  </si>
  <si>
    <t>Adjust 'Meal Date' to be within 'Travel Start Date' and 'Travel End Date'.</t>
  </si>
  <si>
    <t>Select a 'Meal Date' from the in-cell dropdown list.</t>
  </si>
  <si>
    <t>The 'Meal Date' must be between 'Travel Start Date' and 'Travel End Date'.</t>
  </si>
  <si>
    <t>Meals_Receipts01</t>
  </si>
  <si>
    <t>Meal 1 Receipt Error</t>
  </si>
  <si>
    <t>Enter 'Meal Amounts' to match entered date.</t>
  </si>
  <si>
    <t>Enter each meal receipt amount for the respective date using the format '0.00'. The eligible amount for each meal will be identified.</t>
  </si>
  <si>
    <t>If the expense was incurred in a foreign currency, enter the Canadian equivalent and include supporting documentation for your exchange rate.</t>
  </si>
  <si>
    <t>Meals_Date02</t>
  </si>
  <si>
    <t>Meal 2 Date Error</t>
  </si>
  <si>
    <t>Meal 2 Date Error (Not within Travel Dates)</t>
  </si>
  <si>
    <t>Select a 'Meal Date' from the in-cell dropdown list.
The 'Meal Date' must be between 'Travel Start Date' and 'Travel End Date'.</t>
  </si>
  <si>
    <t>Meals_Receipts02</t>
  </si>
  <si>
    <t>Meal 2 Receipt Error</t>
  </si>
  <si>
    <t>Meals_Date03</t>
  </si>
  <si>
    <t>Meal 3 Date Error</t>
  </si>
  <si>
    <t>Meal 3 Date Error (Not within Travel Dates)</t>
  </si>
  <si>
    <t>Meals_Receipts03</t>
  </si>
  <si>
    <t>Meal 3 Receipt Error</t>
  </si>
  <si>
    <t>Meals_Date04</t>
  </si>
  <si>
    <t>Meal 4 Date Error</t>
  </si>
  <si>
    <t>Meal 4 Date Error (Not within Travel Dates)</t>
  </si>
  <si>
    <t>Meals_Receipts04</t>
  </si>
  <si>
    <t>Meal 4 Receipt Error</t>
  </si>
  <si>
    <t>Meals_Date05</t>
  </si>
  <si>
    <t>Meal 5 Date Error</t>
  </si>
  <si>
    <t>Meal 5 Date Error (Not within Travel Dates)</t>
  </si>
  <si>
    <t>Meals_Receipts05</t>
  </si>
  <si>
    <t>Meal 5 Receipts Error</t>
  </si>
  <si>
    <t>Meals_Date06</t>
  </si>
  <si>
    <t>Meal 6 Date Error</t>
  </si>
  <si>
    <t>Meal 6 Date Error (Not within Travel Dates)</t>
  </si>
  <si>
    <t>Meals_Receipts06</t>
  </si>
  <si>
    <t>Meal 6 Receipt Error</t>
  </si>
  <si>
    <t>Meals_Date07</t>
  </si>
  <si>
    <t>Meal 7 Date Error</t>
  </si>
  <si>
    <t>Meal 7 Date Error (Not within Travel Dates)</t>
  </si>
  <si>
    <t>Meals_Receipts07</t>
  </si>
  <si>
    <t>Meal 7 Receipt Error</t>
  </si>
  <si>
    <t>Meals_Date08</t>
  </si>
  <si>
    <t>Meal 8 Date Error</t>
  </si>
  <si>
    <t>Meal 8 Date Error (Not within Travel Dates)</t>
  </si>
  <si>
    <t>Meals_Receipts08</t>
  </si>
  <si>
    <t>Meal 8 Receipt Error</t>
  </si>
  <si>
    <t>Meals_Date09</t>
  </si>
  <si>
    <t>Meal 9 Date Error</t>
  </si>
  <si>
    <t>Meal 9 Date Error (Not within Travel Dates)</t>
  </si>
  <si>
    <t>Meals_Receipts09</t>
  </si>
  <si>
    <t>Meal 9 Receipt Error</t>
  </si>
  <si>
    <t>Meals_Date10</t>
  </si>
  <si>
    <t>Meal 10 Date Error</t>
  </si>
  <si>
    <t>Meal 10 Date Error (Not within Travel Dates)</t>
  </si>
  <si>
    <t>Meals_Receipts10</t>
  </si>
  <si>
    <t>Meal 10 Receipt Error</t>
  </si>
  <si>
    <t>Others_Date01</t>
  </si>
  <si>
    <t>Others 01 Date Error</t>
  </si>
  <si>
    <t>Enter 'Date' to match information entered on Other Expenses Line #1.</t>
  </si>
  <si>
    <t>Others 01 Date Error (Receipt date not within travel dates)</t>
  </si>
  <si>
    <t>Adjust 'Date' to be within 'Travel Start Date' and 'Travel End Date'.</t>
  </si>
  <si>
    <t>Select a 'Date' from the in-cell dropdown list.</t>
  </si>
  <si>
    <t>The 'Date' must be between 'Travel Start Date' and 'Travel End Date'.</t>
  </si>
  <si>
    <t>Others_Expense01</t>
  </si>
  <si>
    <t>Others 01 Expense Error</t>
  </si>
  <si>
    <t>Select 'Expense Type' to match information entered on Other Expenses Line #1</t>
  </si>
  <si>
    <t>Select 'Expense Type' from the in-cell dropdown list.</t>
  </si>
  <si>
    <t>The required information for the line will change based on the 'Expense Type' selected.</t>
  </si>
  <si>
    <t>Others 01 Expense Error (Value not in dropdown list)</t>
  </si>
  <si>
    <t>Adjust 'Expense Type' to valid value.</t>
  </si>
  <si>
    <t>Select an 'Expense Type' from the in-cell dropdown list.</t>
  </si>
  <si>
    <t>Others_Desc01</t>
  </si>
  <si>
    <t>Others 01 Description Error</t>
  </si>
  <si>
    <t>Enter 'Description' to match information entered on Other Expenses Line #1.</t>
  </si>
  <si>
    <t>Enter a 'Description' of the item being claimed.</t>
  </si>
  <si>
    <t>This is a free text field with a limit of 30 characters.</t>
  </si>
  <si>
    <t>Others_From01</t>
  </si>
  <si>
    <t>Others 01 From Error</t>
  </si>
  <si>
    <t>Enter 'From' to match information entered on Other Expenses Line #1.</t>
  </si>
  <si>
    <t>Enter 'From' (which is the departure location) for the item listed.</t>
  </si>
  <si>
    <t>This is a free text field with a limit of 20 characters.</t>
  </si>
  <si>
    <t>Others_To01</t>
  </si>
  <si>
    <t>Others 01 To Error</t>
  </si>
  <si>
    <t>Enter 'To' to match information entered on Other Expenses Line #1.</t>
  </si>
  <si>
    <t>Enter 'To' (which is the destination location) for the item listed.</t>
  </si>
  <si>
    <t>Others_Receipt01</t>
  </si>
  <si>
    <t>Others 01 Receipt Error</t>
  </si>
  <si>
    <t>Enter 'Receipt Amount' to match information entered on Other Expenses Line #1.</t>
  </si>
  <si>
    <t>Enter 'Receipt Amount' for the item listed in the format '0.00'.</t>
  </si>
  <si>
    <t>Others_KM01</t>
  </si>
  <si>
    <t>Others 01 KM Error</t>
  </si>
  <si>
    <t>Enter 'KMs Travelled' to match information entered on Other Expenses Line #1.</t>
  </si>
  <si>
    <t xml:space="preserve">Enter 'KMs Travelled' for the item listed. You can claim the roundtrip KMs on a single line or claim each leg of your trip on separate lines. </t>
  </si>
  <si>
    <t>Consult the 'Kilometer Matrix' for pre-established distances between most communities. KMs should be rounded to the nearest full KM.</t>
  </si>
  <si>
    <t>Others_Date02</t>
  </si>
  <si>
    <t>Others 02 Date Error</t>
  </si>
  <si>
    <t>Enter 'Date' to match information entered on Other Expenses Line #2.</t>
  </si>
  <si>
    <t>Others 02 Date Error (Receipt date not within travel dates)</t>
  </si>
  <si>
    <t>Others_Expense02</t>
  </si>
  <si>
    <t>Others 02 Expense Error</t>
  </si>
  <si>
    <t>Select 'Expense Type' to match information entered on Other Expenses Line #2</t>
  </si>
  <si>
    <t>Others 02 Expense Error (Value not in dropdown list)</t>
  </si>
  <si>
    <t>Others_Desc02</t>
  </si>
  <si>
    <t>Others 02 Description Error</t>
  </si>
  <si>
    <t>Enter 'Description' to match information entered on Other Expenses Line #2.</t>
  </si>
  <si>
    <t>Others_From02</t>
  </si>
  <si>
    <t>Others 02 From Error</t>
  </si>
  <si>
    <t>Enter 'From' to match information entered on Other Expenses Line #2.</t>
  </si>
  <si>
    <t>Others_To02</t>
  </si>
  <si>
    <t>Others 02 To Error</t>
  </si>
  <si>
    <t>Enter 'To' to match information entered on Other Expenses Line #2.</t>
  </si>
  <si>
    <t>Others_Receipt02</t>
  </si>
  <si>
    <t>Others 02 Receipt Error</t>
  </si>
  <si>
    <t>Enter 'Receipt Amount' to match information entered on Other Expenses Line #2.</t>
  </si>
  <si>
    <t>Others_KM02</t>
  </si>
  <si>
    <t>Others 02 KM Error</t>
  </si>
  <si>
    <t>Enter 'KMs Travelled' to match information entered on Other Expenses Line #2.</t>
  </si>
  <si>
    <t xml:space="preserve">Enter 'KM Travelled' for the item listed. You can claim the roundtrip KMs on a single line or claim each leg of your trip on separate lines. </t>
  </si>
  <si>
    <t>Consult the 'Kilometer Matrix' in the Travel Management and Expenses protocol to confirm KM amounts.</t>
  </si>
  <si>
    <t>Others_Date03</t>
  </si>
  <si>
    <t>Others 03 Date Error</t>
  </si>
  <si>
    <t>Enter 'Date' to match information entered on Other Expenses Line #3.</t>
  </si>
  <si>
    <t>Others 03 Date Error (Receipt date not within travel dates)</t>
  </si>
  <si>
    <t>Others_Expense03</t>
  </si>
  <si>
    <t>Others 03 Expense Error</t>
  </si>
  <si>
    <t>Select 'Expense Type' to match information entered on Other Expenses Line #3</t>
  </si>
  <si>
    <t>Others 03 Expense Error (Value not in dropdown list)</t>
  </si>
  <si>
    <t>Others_Desc03</t>
  </si>
  <si>
    <t>Others 03 Description Error</t>
  </si>
  <si>
    <t>Enter 'Description' to match information entered on Other Expenses Line #3.</t>
  </si>
  <si>
    <t>Others_From03</t>
  </si>
  <si>
    <t>Others 03 From Error</t>
  </si>
  <si>
    <t>Enter 'From' to match information entered on Other Expenses Line #3.</t>
  </si>
  <si>
    <t>Others_To03</t>
  </si>
  <si>
    <t>Others 03 To Error</t>
  </si>
  <si>
    <t>Enter 'To' to match information entered on Other Expenses Line #3.</t>
  </si>
  <si>
    <t>Others_Receipt03</t>
  </si>
  <si>
    <t>Others 03 Receipt Error</t>
  </si>
  <si>
    <t>Enter 'Receipt Amount' to match information entered on Other Expenses Line #3.</t>
  </si>
  <si>
    <t>Others_KM03</t>
  </si>
  <si>
    <t>Others 03 KM Error</t>
  </si>
  <si>
    <t>Enter 'KMs Travelled' to match information entered on Other Expenses Line #3.</t>
  </si>
  <si>
    <t>Others_Date04</t>
  </si>
  <si>
    <t>Others 04 Date Error</t>
  </si>
  <si>
    <t>Enter 'Date' to match information entered on Other Expenses Line #4.</t>
  </si>
  <si>
    <t>Others 04 Date Error (Receipt date not within travel dates)</t>
  </si>
  <si>
    <t>Others_Expense04</t>
  </si>
  <si>
    <t>Others 04 Expense Error</t>
  </si>
  <si>
    <t>Select 'Expense Type' to match information entered on Other Expenses Line #4</t>
  </si>
  <si>
    <t>Others 04 Expense Error (Value not in dropdown list)</t>
  </si>
  <si>
    <t>Others_Desc04</t>
  </si>
  <si>
    <t>Others 04 Description Error</t>
  </si>
  <si>
    <t>Enter 'Description' to match information entered on Other Expenses Line #4.</t>
  </si>
  <si>
    <t>Others_From04</t>
  </si>
  <si>
    <t>Others 04 From Error</t>
  </si>
  <si>
    <t>Enter 'From' to match information entered on Other Expenses Line #4.</t>
  </si>
  <si>
    <t>Others_To04</t>
  </si>
  <si>
    <t>Others 04 To Error</t>
  </si>
  <si>
    <t>Enter 'To' to match information entered on Other Expenses Line #4.</t>
  </si>
  <si>
    <t>Others_Receipt04</t>
  </si>
  <si>
    <t>Others 04 Receipt Error</t>
  </si>
  <si>
    <t>Enter 'Receipt Amount' to match information entered on Other Expenses Line #4.</t>
  </si>
  <si>
    <t>Others_KM04</t>
  </si>
  <si>
    <t>Others 04 KM Error</t>
  </si>
  <si>
    <t>Enter 'KMs Travelled' to match information entered on Other Expenses Line #4.</t>
  </si>
  <si>
    <t>Others_Date05</t>
  </si>
  <si>
    <t>Others 05 Date Error</t>
  </si>
  <si>
    <t>Enter 'Date' to match information entered on Other Expenses Line #5.</t>
  </si>
  <si>
    <t>Others 05 Date Error (Receipt date not within travel dates)</t>
  </si>
  <si>
    <t>Others_Expense05</t>
  </si>
  <si>
    <t>Others 05 Expense Error</t>
  </si>
  <si>
    <t>Select 'Expense Type' to match information entered on Other Expenses Line #5</t>
  </si>
  <si>
    <t>Others 05 Expense Error (Value not in dropdown list)</t>
  </si>
  <si>
    <t>Others_Desc05</t>
  </si>
  <si>
    <t>Others 05 Description Error</t>
  </si>
  <si>
    <t>Enter 'Description' to match information entered on Other Expenses Line #5.</t>
  </si>
  <si>
    <t>Others_From05</t>
  </si>
  <si>
    <t>Others 05 From Error</t>
  </si>
  <si>
    <t>Enter 'From' to match information entered on Other Expenses Line #5.</t>
  </si>
  <si>
    <t>Others_To05</t>
  </si>
  <si>
    <t>Others 05 To Error</t>
  </si>
  <si>
    <t>Enter 'To' to match information entered on Other Expenses Line #5.</t>
  </si>
  <si>
    <t>Others_Receipt05</t>
  </si>
  <si>
    <t>Others 05 Receipt Error</t>
  </si>
  <si>
    <t>Enter 'Receipt Amount' to match information entered on Other Expenses Line #5.</t>
  </si>
  <si>
    <t>Others_KM05</t>
  </si>
  <si>
    <t>Others 05 KM Error</t>
  </si>
  <si>
    <t>Enter 'KMs Travelled' to match information entered on Other Expenses Line #5.</t>
  </si>
  <si>
    <t>Others_Date06</t>
  </si>
  <si>
    <t>Others 06 Date Error</t>
  </si>
  <si>
    <t>Enter 'Date' to match information entered on Other Expenses Line #6.</t>
  </si>
  <si>
    <t>Others 06 Date Error (Receipt date not within travel dates)</t>
  </si>
  <si>
    <t>Others_Expense06</t>
  </si>
  <si>
    <t>Others 06 Expense Error</t>
  </si>
  <si>
    <t>Select 'Expense Type' to match information entered on Other Expenses Line #6</t>
  </si>
  <si>
    <t>Others 06 Expense Error (Value not in dropdown list)</t>
  </si>
  <si>
    <t>Others_Desc06</t>
  </si>
  <si>
    <t>Others 06 Description Error</t>
  </si>
  <si>
    <t>Enter 'Description' to match information entered on Other Expenses Line #6.</t>
  </si>
  <si>
    <t>Others_From06</t>
  </si>
  <si>
    <t>Others 06 From Error</t>
  </si>
  <si>
    <t>Enter 'From' to match information entered on Other Expenses Line #6.</t>
  </si>
  <si>
    <t>Others_To06</t>
  </si>
  <si>
    <t>Others 06 To Error</t>
  </si>
  <si>
    <t>Enter 'To' to match information entered on Other Expenses Line #6.</t>
  </si>
  <si>
    <t>Others_Receipt06</t>
  </si>
  <si>
    <t>Others 06 Receipt Error</t>
  </si>
  <si>
    <t>Enter 'Receipt Amount' to match information entered on Other Expenses Line #6.</t>
  </si>
  <si>
    <t>Others_KM06</t>
  </si>
  <si>
    <t>Others 06 KM Error</t>
  </si>
  <si>
    <t>Enter 'KMs Travelled' to match information entered on Other Expenses Line #6.</t>
  </si>
  <si>
    <t>Others_Date07</t>
  </si>
  <si>
    <t>Others 07 Date Error</t>
  </si>
  <si>
    <t>Enter 'Date' to match information entered on Other Expenses Line #7.</t>
  </si>
  <si>
    <t>Others 07 Date Error (Receipt date not within travel dates)</t>
  </si>
  <si>
    <t>Others_Expense07</t>
  </si>
  <si>
    <t>Others 07 Expense Error</t>
  </si>
  <si>
    <t>Select 'Expense Type' to match information entered on Other Expenses Line #7</t>
  </si>
  <si>
    <t>Others 07 Expense Error (Value not in dropdown list)</t>
  </si>
  <si>
    <t>Others_Desc07</t>
  </si>
  <si>
    <t>Others 07 Description Error</t>
  </si>
  <si>
    <t>Enter 'Description' to match information entered on Other Expenses Line #7.</t>
  </si>
  <si>
    <t>Others_From07</t>
  </si>
  <si>
    <t>Others 07 From Error</t>
  </si>
  <si>
    <t>Enter 'From' to match information entered on Other Expenses Line #7.</t>
  </si>
  <si>
    <t>Others_To07</t>
  </si>
  <si>
    <t>Others 07 To Error</t>
  </si>
  <si>
    <t>Enter 'To' to match information entered on Other Expenses Line #7.</t>
  </si>
  <si>
    <t>Others_Receipt07</t>
  </si>
  <si>
    <t>Others 07 Receipt Error</t>
  </si>
  <si>
    <t>Enter 'Receipt Amount' to match information entered on Other Expenses Line #7.</t>
  </si>
  <si>
    <t>Others_KM07</t>
  </si>
  <si>
    <t>Others 07 KM Error</t>
  </si>
  <si>
    <t>Enter 'KMs Travelled' to match information entered on Other Expenses Line #7.</t>
  </si>
  <si>
    <t>Others_Date08</t>
  </si>
  <si>
    <t>Others 08 Date Error</t>
  </si>
  <si>
    <t>Enter 'Date' to match information entered on Other Expenses Line #8.</t>
  </si>
  <si>
    <t>Others 08 Date Error (Receipt date not within travel dates)</t>
  </si>
  <si>
    <t>Others_Expense08</t>
  </si>
  <si>
    <t>Others 08 Expense Error</t>
  </si>
  <si>
    <t>Select 'Expense Type' to match information entered on Other Expenses Line #8</t>
  </si>
  <si>
    <t>Others 08 Expense Error (Value not in dropdown list)</t>
  </si>
  <si>
    <t>Others_Desc08</t>
  </si>
  <si>
    <t>Others 08 Description Error</t>
  </si>
  <si>
    <t>Enter 'Description' to match information entered on Other Expenses Line #8.</t>
  </si>
  <si>
    <t>Others_From08</t>
  </si>
  <si>
    <t>Others 08 From Error</t>
  </si>
  <si>
    <t>Enter 'From' to match information entered on Other Expenses Line #8.</t>
  </si>
  <si>
    <t>Others_To08</t>
  </si>
  <si>
    <t>Others 08 To Error</t>
  </si>
  <si>
    <t>Enter 'To' to match information entered on Other Expenses Line #8.</t>
  </si>
  <si>
    <t>Others_Receipt08</t>
  </si>
  <si>
    <t>Others 08 Receipt Error</t>
  </si>
  <si>
    <t>Enter 'Receipt Amount' to match information entered on Other Expenses Line #8.</t>
  </si>
  <si>
    <t>Others_KM08</t>
  </si>
  <si>
    <t>Others 08 KM Error</t>
  </si>
  <si>
    <t>Enter 'KMs Travelled' to match information entered on Other Expenses Line #8.</t>
  </si>
  <si>
    <t>Others_Date09</t>
  </si>
  <si>
    <t>Others 09 Date Error</t>
  </si>
  <si>
    <t>Enter 'Date' to match information entered on Other Expenses Line #9.</t>
  </si>
  <si>
    <t>Others 09 Date Error (Receipt date not within travel dates)</t>
  </si>
  <si>
    <t>Others_Expense09</t>
  </si>
  <si>
    <t>Others 09 Expense Error</t>
  </si>
  <si>
    <t>Select 'Expense Type' to match information entered on Other Expenses Line #9</t>
  </si>
  <si>
    <t>Others 09 Expense Error (Value not in dropdown list)</t>
  </si>
  <si>
    <t>Others_Desc09</t>
  </si>
  <si>
    <t>Others 09 Description Error</t>
  </si>
  <si>
    <t>Enter 'Description' to match information entered on Other Expenses Line #9.</t>
  </si>
  <si>
    <t>Others_From09</t>
  </si>
  <si>
    <t>Others 09 From Error</t>
  </si>
  <si>
    <t>Enter 'From' to match information entered on Other Expenses Line #9.</t>
  </si>
  <si>
    <t>Others_To09</t>
  </si>
  <si>
    <t>Others 09 To Error</t>
  </si>
  <si>
    <t>Enter 'To' to match information entered on Other Expenses Line #9.</t>
  </si>
  <si>
    <t>Others_Receipt09</t>
  </si>
  <si>
    <t>Others 09 Receipt Error</t>
  </si>
  <si>
    <t>Enter 'Receipt Amount' to match information entered on Other Expenses Line #9.</t>
  </si>
  <si>
    <t>Others_KM09</t>
  </si>
  <si>
    <t>Others 09 KM Error</t>
  </si>
  <si>
    <t>Enter 'KMs Travelled' to match information entered on Other Expenses Line #9.</t>
  </si>
  <si>
    <t>Others_Date10</t>
  </si>
  <si>
    <t>Others 10 Date Error</t>
  </si>
  <si>
    <t>Enter 'Date' to match information entered on Other Expenses Line #10.</t>
  </si>
  <si>
    <t>Others 10 Date Error (Receipt date not within travel dates)</t>
  </si>
  <si>
    <t>Others_Expense10</t>
  </si>
  <si>
    <t>Others 10 Expense Error</t>
  </si>
  <si>
    <t>Select 'Expense Type' to match information entered on Other Expenses Line #10</t>
  </si>
  <si>
    <t>Others 10 Expense Error (Value not in dropdown list)</t>
  </si>
  <si>
    <t>Others_Desc10</t>
  </si>
  <si>
    <t>Others 10 Description Error</t>
  </si>
  <si>
    <t>Enter 'Description' to match information entered on Other Expenses Line #10.</t>
  </si>
  <si>
    <t>Others_From10</t>
  </si>
  <si>
    <t>Others 10 From Error</t>
  </si>
  <si>
    <t>Enter 'From' to match information entered on Other Expenses Line #10.</t>
  </si>
  <si>
    <t>Others_To10</t>
  </si>
  <si>
    <t>Others 10 To Error</t>
  </si>
  <si>
    <t>Enter 'To' to match information entered on Other Expenses Line #10.</t>
  </si>
  <si>
    <t>Others_Receipt10</t>
  </si>
  <si>
    <t>Others 10 Receipt Error</t>
  </si>
  <si>
    <t>Enter 'Receipt Amount' to match information entered on Other Expenses Line #10.</t>
  </si>
  <si>
    <t>Others_KM10</t>
  </si>
  <si>
    <t>Others 10 KM Error</t>
  </si>
  <si>
    <t>Enter 'KMs Travelled' to match information entered on Other Expenses Line #10.</t>
  </si>
  <si>
    <t>Others_Date11</t>
  </si>
  <si>
    <t>Others 11 Date Error</t>
  </si>
  <si>
    <t>Enter 'Date' to match information entered on Other Expenses Line #11.</t>
  </si>
  <si>
    <t>Others 11 Date Error (Receipt date not within travel dates)</t>
  </si>
  <si>
    <t>Others_Expense11</t>
  </si>
  <si>
    <t>Others 11 Expense Error</t>
  </si>
  <si>
    <t>Select 'Expense Type' to match information entered on Other Expenses Line #11</t>
  </si>
  <si>
    <t>Others 11 Expense Error (Value not in dropdown list)</t>
  </si>
  <si>
    <t>Others_Desc11</t>
  </si>
  <si>
    <t>Others 11 Description Error</t>
  </si>
  <si>
    <t>Enter 'Description' to match information entered on Other Expenses Line #11.</t>
  </si>
  <si>
    <t>Others_From11</t>
  </si>
  <si>
    <t>Others 11 From Error</t>
  </si>
  <si>
    <t>Enter 'From' to match information entered on Other Expenses Line #11.</t>
  </si>
  <si>
    <t>Others_To11</t>
  </si>
  <si>
    <t>Others 11 To Error</t>
  </si>
  <si>
    <t>Enter 'To' to match information entered on Other Expenses Line #11.</t>
  </si>
  <si>
    <t>Others_Receipt11</t>
  </si>
  <si>
    <t>Others 11 Receipt Error</t>
  </si>
  <si>
    <t>Enter 'Receipt Amount' to match information entered on Other Expenses Line #11.</t>
  </si>
  <si>
    <t>Others_KM11</t>
  </si>
  <si>
    <t>Others 11 KM Error</t>
  </si>
  <si>
    <t>Enter 'KMs Travelled' to match information entered on Other Expenses Line #11.</t>
  </si>
  <si>
    <t>07-097</t>
  </si>
  <si>
    <t>Authorization_SubmissionDate</t>
  </si>
  <si>
    <t>Enter a 'Submission Date'.</t>
  </si>
  <si>
    <t>Enter the 'Submission Date' within 3 months of the travel end date in any format recognizable by Excel.</t>
  </si>
  <si>
    <t>07-098</t>
  </si>
  <si>
    <t>$U$43,$C$32</t>
  </si>
  <si>
    <t>Invalid 'Submission Date'.</t>
  </si>
  <si>
    <t xml:space="preserve">The 'Submission Date' must be within 3 months of the 'Travel End Date' for your travel claim to be eligible for reimbursement. </t>
  </si>
  <si>
    <t>07-999</t>
  </si>
  <si>
    <t xml:space="preserve">Travel Particulars and Receipts entered correctly. </t>
  </si>
  <si>
    <t>If this is all your claim items, forward your claim to the appropriate individual for review and approval.</t>
  </si>
  <si>
    <t>If this is not all your items, continue completing '6.0 Meals' and '7.0 Other Expenses'.</t>
  </si>
  <si>
    <t>Field30_MaximumAmount</t>
  </si>
  <si>
    <t>Enter a 'Funding Maximum Amount' to match the 'Reason' indicated.</t>
  </si>
  <si>
    <t>Enter an amount greater than zero.</t>
  </si>
  <si>
    <t>Use a period ("100.00") as a decimal point as opposed to a comma ("100,00").</t>
  </si>
  <si>
    <t>Funding Maximum Amount is greater than eligible travel.</t>
  </si>
  <si>
    <t>The 'Funding Maximum Amount' is not required since it is greater than the 'Total Expenses Eligible'.</t>
  </si>
  <si>
    <t>Review the amount entered as the 'Funding Maximum Amount' and remove if it is not required.</t>
  </si>
  <si>
    <t>Field31_MaximumReason</t>
  </si>
  <si>
    <t>Enter a 'Funding Maximum Reason' to match the 'Amount' indicated.</t>
  </si>
  <si>
    <t xml:space="preserve">This is a free text field with an 80 character limit. </t>
  </si>
  <si>
    <t>ClaimAllocation_GLArray</t>
  </si>
  <si>
    <t>$J$42,$J$43,$J$44,$J$45</t>
  </si>
  <si>
    <t>GL Mode Error</t>
  </si>
  <si>
    <t>The same GL code has been entered multiple times. Insure each GL is a unique value.</t>
  </si>
  <si>
    <t>ClaimAllocation_AmountArray</t>
  </si>
  <si>
    <t>Claim Not Allocated Correctly, Less than Eligible</t>
  </si>
  <si>
    <t>Increase the 'Claim Allocation Amounts'.</t>
  </si>
  <si>
    <t>The 'Claim Allocation Amounts' are less than the 'Total Expenses Eligible'.</t>
  </si>
  <si>
    <t>Claim Not Allocated Correctly, More than eligible.</t>
  </si>
  <si>
    <t>Decrease the 'Claim Allocation Amounts'.</t>
  </si>
  <si>
    <t>The 'Claim Allocation Amounts' are greater than the 'Total Expenses Eligible'.</t>
  </si>
  <si>
    <t>ClaimAllocation_GL1</t>
  </si>
  <si>
    <t>GL 1 Error</t>
  </si>
  <si>
    <t>Enter 'GL Code #1' to match entered amount.</t>
  </si>
  <si>
    <t>Enter a valid 15 digit budget code.</t>
  </si>
  <si>
    <t>Budget code must be entered without spaces or dashes (ie. 101000006300000).</t>
  </si>
  <si>
    <t>ClaimAllocation_GL2</t>
  </si>
  <si>
    <t>GL 2 Error</t>
  </si>
  <si>
    <t>Enter 'GL Code #2' to match entered amount.</t>
  </si>
  <si>
    <t>ClaimAllocation_GL3</t>
  </si>
  <si>
    <t>GL 3 Error</t>
  </si>
  <si>
    <t>Enter 'GL Code #3' to match entered amount.</t>
  </si>
  <si>
    <t>ClaimAllocation_GL4</t>
  </si>
  <si>
    <t>GL 4 Error</t>
  </si>
  <si>
    <t>Enter 'GL Code #4' to match entered amount.</t>
  </si>
  <si>
    <t>11-999</t>
  </si>
  <si>
    <t>N/A</t>
  </si>
  <si>
    <t>Claim validated. This error must always be last. =COUNTIF($A$7:$A146,TRUE)=0</t>
  </si>
  <si>
    <t>'Travel Expense Summary' is ready for authorization.</t>
  </si>
  <si>
    <t>Save as a 'PDF' or print and forward to the appropriate approver before directing to NOSM Accounts Payable.</t>
  </si>
  <si>
    <t>Use named range and copy into error list…</t>
  </si>
  <si>
    <t>Single Cell, Single Range, Multiple Cells/Range, Other</t>
  </si>
  <si>
    <t>CALC</t>
  </si>
  <si>
    <t>Named Range Paste</t>
  </si>
  <si>
    <t>Reference Paste</t>
  </si>
  <si>
    <t>Reference Text</t>
  </si>
  <si>
    <t>Used in Error List</t>
  </si>
  <si>
    <t>Starts with '</t>
  </si>
  <si>
    <t>Count of Colon ":"</t>
  </si>
  <si>
    <t>Square Bracket?</t>
  </si>
  <si>
    <t>Count of ","</t>
  </si>
  <si>
    <t>Reference Type</t>
  </si>
  <si>
    <t>='Travel Expense Summary'!$U$43</t>
  </si>
  <si>
    <t>ClaimAllocation_Amount1</t>
  </si>
  <si>
    <t>='Travel Expense Summary'!$M$42</t>
  </si>
  <si>
    <t>ClaimAllocation_Amount2</t>
  </si>
  <si>
    <t>='Travel Expense Summary'!$M$43</t>
  </si>
  <si>
    <t>ClaimAllocation_Amount3</t>
  </si>
  <si>
    <t>='Travel Expense Summary'!$M$44</t>
  </si>
  <si>
    <t>ClaimAllocation_Amount4</t>
  </si>
  <si>
    <t>='Travel Expense Summary'!$M$45</t>
  </si>
  <si>
    <t>='Travel Expense Summary'!$M$42,'Travel Expense Summary'!$M$43,'Travel Expense Summary'!$M$44,'Travel Expense Summary'!$M$45</t>
  </si>
  <si>
    <t>='Travel Expense Summary'!$J$42</t>
  </si>
  <si>
    <t>='Travel Expense Summary'!$J$43</t>
  </si>
  <si>
    <t>='Travel Expense Summary'!$J$44</t>
  </si>
  <si>
    <t>='Travel Expense Summary'!$J$45</t>
  </si>
  <si>
    <t>='Travel Expense Summary'!$J$42:$L$45</t>
  </si>
  <si>
    <t>ClaimStatus</t>
  </si>
  <si>
    <t>='Travel Expense Summary'!$AE$24</t>
  </si>
  <si>
    <t>DefaultMileageRate</t>
  </si>
  <si>
    <t>='Particulars Validation'!$Z$4</t>
  </si>
  <si>
    <t>Dropdown_AddressType</t>
  </si>
  <si>
    <t>=Table_AddressType[Address Type]</t>
  </si>
  <si>
    <t>Dropdown_ClaimType</t>
  </si>
  <si>
    <t>=Table_ClaimType[Claim Type]</t>
  </si>
  <si>
    <t>Dropdown_Expenses</t>
  </si>
  <si>
    <t>=Table_Expenses[Expense]</t>
  </si>
  <si>
    <t>Dropdown_KMCentre</t>
  </si>
  <si>
    <t>=Table_KMCentre[Community]</t>
  </si>
  <si>
    <t>Dropdown_KMCommunity</t>
  </si>
  <si>
    <t>=Table_KMCommunity[Community]</t>
  </si>
  <si>
    <t>Dropdown_NotSelectedValue</t>
  </si>
  <si>
    <t>='Particulars Validation'!$A$4</t>
  </si>
  <si>
    <t>Dropdown_PayeeType</t>
  </si>
  <si>
    <t>=Table_PayeeType[Payee Type]</t>
  </si>
  <si>
    <t>Dropdown_PaymentOptions</t>
  </si>
  <si>
    <t>=Table_PaymentOption[Banking Options]</t>
  </si>
  <si>
    <t>Dropdown_Prefix</t>
  </si>
  <si>
    <t>=Table_Prefix[Prefix]</t>
  </si>
  <si>
    <t>Dropdown_ProvinceAbbr</t>
  </si>
  <si>
    <t>=Table_Provinces[Abbr]</t>
  </si>
  <si>
    <t>Dropdown_Purpose</t>
  </si>
  <si>
    <t>=Table_Conference[Purpose]</t>
  </si>
  <si>
    <t>Dropdown_Range</t>
  </si>
  <si>
    <t>=Table_Range[Range]</t>
  </si>
  <si>
    <t>Dropdown_ReceiptDates</t>
  </si>
  <si>
    <t>=OFFSET(INDEX(Table_Dates[Receipt Date Available],1,1),0,0,COUNTA(Table_Dates[Receipt Date Available])-COUNTIF(Table_Dates[Receipt Date Available],"XXXX"),1)</t>
  </si>
  <si>
    <t>Dropdown_Requester</t>
  </si>
  <si>
    <t>=Table_Requester[Requester]</t>
  </si>
  <si>
    <t>Dropdown_SEctionNum</t>
  </si>
  <si>
    <t>=Table_SectionNames[Section '#]</t>
  </si>
  <si>
    <t>Dropdown_SubmittingPortfolio</t>
  </si>
  <si>
    <t>=Table_SubmittingPortfolio[Submitting Portfolio]</t>
  </si>
  <si>
    <t>Dropdown_TravelEndDates</t>
  </si>
  <si>
    <t>=IF(Field15_TravelStartDate&lt;&gt;"",Table_Dates[Travel End Date Available],Field15_TravelStartDate)</t>
  </si>
  <si>
    <t>Dropdown_TripType</t>
  </si>
  <si>
    <t>=Table_TripType[Trip Type]</t>
  </si>
  <si>
    <t>Dropdown_YesNo</t>
  </si>
  <si>
    <t>=Table_YesNo[YesNo]</t>
  </si>
  <si>
    <t>Error_OffsetRef</t>
  </si>
  <si>
    <t>='Error List'!$A$7</t>
  </si>
  <si>
    <t>ErrorHighlighter_ReferenceArray</t>
  </si>
  <si>
    <t>=Table_ErrorList[Used Reference]</t>
  </si>
  <si>
    <t>ErrorHighlighter_TrueArray</t>
  </si>
  <si>
    <t>=Table_ErrorList[Error Evaluation]</t>
  </si>
  <si>
    <t>='Travel Expense Summary'!$C$12</t>
  </si>
  <si>
    <t>='Travel Expense Summary'!$C$13</t>
  </si>
  <si>
    <t>='Travel Expense Summary'!$C$14</t>
  </si>
  <si>
    <t>='Travel Expense Summary'!$C$15</t>
  </si>
  <si>
    <t>='Travel Expense Summary'!$C$16</t>
  </si>
  <si>
    <t>='Travel Expense Summary'!$C$17</t>
  </si>
  <si>
    <t>='Travel Expense Summary'!$E$17</t>
  </si>
  <si>
    <t>='Travel Expense Summary'!$C$18</t>
  </si>
  <si>
    <t>='Travel Expense Summary'!$C$19</t>
  </si>
  <si>
    <t>='Travel Expense Summary'!$C$20</t>
  </si>
  <si>
    <t>='Travel Expense Summary'!$E$20</t>
  </si>
  <si>
    <t>='Travel Expense Summary'!$C$21</t>
  </si>
  <si>
    <t>='Travel Expense Summary'!$C$22</t>
  </si>
  <si>
    <t>='Travel Expense Summary'!$C$23</t>
  </si>
  <si>
    <t>='Travel Expense Summary'!$C$27</t>
  </si>
  <si>
    <t>='Travel Expense Summary'!$C$28</t>
  </si>
  <si>
    <t>='Travel Expense Summary'!$C$29</t>
  </si>
  <si>
    <t>='Travel Expense Summary'!$C$30</t>
  </si>
  <si>
    <t>='Travel Expense Summary'!$C$31</t>
  </si>
  <si>
    <t>='Travel Expense Summary'!$C$32</t>
  </si>
  <si>
    <t>='Travel Expense Summary'!$C$35</t>
  </si>
  <si>
    <t>='Travel Expense Summary'!$C$36</t>
  </si>
  <si>
    <t>='Travel Expense Summary'!$C$37</t>
  </si>
  <si>
    <t>='Travel Expense Summary'!$C$38</t>
  </si>
  <si>
    <t>='Travel Expense Summary'!$H$13</t>
  </si>
  <si>
    <t>Field22_AddDetails</t>
  </si>
  <si>
    <t>='Travel Expense Summary'!$H$16</t>
  </si>
  <si>
    <t>='Travel Expense Summary'!$J$21</t>
  </si>
  <si>
    <t>='Travel Expense Summary'!$J$22</t>
  </si>
  <si>
    <t>='Travel Expense Summary'!$J$23</t>
  </si>
  <si>
    <t>='Travel Expense Summary'!$F$42</t>
  </si>
  <si>
    <t>='Travel Expense Summary'!$C$43</t>
  </si>
  <si>
    <t>Form_Formulas</t>
  </si>
  <si>
    <t>='Travel Expense Summary'!$C$1:$AA$4,'Travel Expense Summary'!$D$8,'Travel Expense Summary'!$B$11,'Travel Expense Summary'!$H$11,'Travel Expense Summary'!$O$11,'Travel Expense Summary'!$V$13:$Y$22,'Travel Expense Summary'!$B$19 'Travel Expense Summary'!</t>
  </si>
  <si>
    <t>HelpDialogue_FieldEntry</t>
  </si>
  <si>
    <t>='Travel Expense Summary'!$C$3</t>
  </si>
  <si>
    <t>HelpDialogue_Message</t>
  </si>
  <si>
    <t>='Travel Expense Summary'!$C$1</t>
  </si>
  <si>
    <t>Hide_KMFields</t>
  </si>
  <si>
    <t>='Expense Type Validation'!$F$52</t>
  </si>
  <si>
    <t>HideAdvanceAmount</t>
  </si>
  <si>
    <t>=IFERROR(NOT(VLOOKUP(Field17_ClaimType,Table_ClaimType,MATCH(Table_ClaimType[[#Headers],[Advance Amount Available]],Table_ClaimType[#Headers],0),FALSE)),FALSE)</t>
  </si>
  <si>
    <t>HideClaimDetails</t>
  </si>
  <si>
    <t>=VLOOKUP(Field09_PayeeType,Table_PayeeType,MATCH(Table_PayeeType[[#Headers],[ClaimDetails Available]],Table_PayeeType[#Headers],0),FALSE)=FALSE</t>
  </si>
  <si>
    <t>HideReceiptFields</t>
  </si>
  <si>
    <t>='Expense Type Validation'!$E$52</t>
  </si>
  <si>
    <t>HideRequester</t>
  </si>
  <si>
    <t>=IFERROR(NOT(VLOOKUP(Field19_Purpose,Table_Conference,MATCH(Table_Conference[[#Headers],[Form Required Available]],Table_Conference[#Headers],0),FALSE)),FALSE)</t>
  </si>
  <si>
    <t>HSTFedRebate</t>
  </si>
  <si>
    <t>='Particulars Validation'!$AR$7</t>
  </si>
  <si>
    <t>HSTProvRebate</t>
  </si>
  <si>
    <t>='Particulars Validation'!$AS$7</t>
  </si>
  <si>
    <t>HSTTotal</t>
  </si>
  <si>
    <t>='Particulars Validation'!$AT$7</t>
  </si>
  <si>
    <t>Lookup_Error</t>
  </si>
  <si>
    <t>=Table_ErrorList</t>
  </si>
  <si>
    <t>Lookup_ErrorHeaders</t>
  </si>
  <si>
    <t>=Table_ErrorList[#Headers]</t>
  </si>
  <si>
    <t>Lookup_KMCommunity</t>
  </si>
  <si>
    <t>=MATCH('Kilometer Matrix (Appendix F)'!$B$3,Table_KMMatrix[Community],0)-1</t>
  </si>
  <si>
    <t>Lookup_KMIntersect</t>
  </si>
  <si>
    <t xml:space="preserve">=CELL("address",'Kilometer Matrix (Appendix F)'!XEW75) "address" OFFSET(INDEX(Table_KMMatrix,1,1),MATCH('Kilometer Matrix (Appendix F)'!$B$3,Table_KMMatrix[Community],0)-1,MATCH('Kilometer Matrix (Appendix F)'!$D$3,Table_KMMatrix[#Headers],0)-1,1,1) </t>
  </si>
  <si>
    <t>Lookup_KMMajor</t>
  </si>
  <si>
    <t>=MATCH('Kilometer Matrix (Appendix F)'!$D$3,Table_KMMatrix[#Headers],0)-1</t>
  </si>
  <si>
    <t>Lookup_KMRefStart</t>
  </si>
  <si>
    <t>=INDEX(Table_KMMatrix,1,1)</t>
  </si>
  <si>
    <t>Lookup_StatusCalc</t>
  </si>
  <si>
    <t>=Table_ClaimStatus[Calculation]</t>
  </si>
  <si>
    <t>Lookup_StatusColour</t>
  </si>
  <si>
    <t>=Table_ClaimStatus[COLOUR ON]</t>
  </si>
  <si>
    <t>Meal_DatesArray</t>
  </si>
  <si>
    <t>='Travel Expense Summary'!$P$13:$P$22</t>
  </si>
  <si>
    <t>MealMax_Breakfast</t>
  </si>
  <si>
    <t>='Meal Validation'!$D$10</t>
  </si>
  <si>
    <t>MealMax_Dinner</t>
  </si>
  <si>
    <t>='Meal Validation'!$D$12</t>
  </si>
  <si>
    <t>MealMax_Lunch</t>
  </si>
  <si>
    <t>='Meal Validation'!$D$11</t>
  </si>
  <si>
    <t>='Travel Expense Summary'!$P$13</t>
  </si>
  <si>
    <t>='Travel Expense Summary'!$P$14</t>
  </si>
  <si>
    <t>='Travel Expense Summary'!$P$15</t>
  </si>
  <si>
    <t>='Travel Expense Summary'!$P$16</t>
  </si>
  <si>
    <t>='Travel Expense Summary'!$P$17</t>
  </si>
  <si>
    <t>='Travel Expense Summary'!$P$18</t>
  </si>
  <si>
    <t>='Travel Expense Summary'!$P$19</t>
  </si>
  <si>
    <t>='Travel Expense Summary'!$P$20</t>
  </si>
  <si>
    <t>='Travel Expense Summary'!$P$21</t>
  </si>
  <si>
    <t>='Travel Expense Summary'!$P$22</t>
  </si>
  <si>
    <t>='Particulars Validation'!$AY$4</t>
  </si>
  <si>
    <t>='Travel Expense Summary'!$R$13,'Travel Expense Summary'!$S$13,'Travel Expense Summary'!$T$13</t>
  </si>
  <si>
    <t>='Travel Expense Summary'!$R$14,'Travel Expense Summary'!$S$14,'Travel Expense Summary'!$T$14</t>
  </si>
  <si>
    <t>='Travel Expense Summary'!$R$15,'Travel Expense Summary'!$S$15,'Travel Expense Summary'!$T$15</t>
  </si>
  <si>
    <t>='Travel Expense Summary'!$R$16,'Travel Expense Summary'!$S$16,'Travel Expense Summary'!$T$16</t>
  </si>
  <si>
    <t>='Travel Expense Summary'!$R$17,'Travel Expense Summary'!$S$17,'Travel Expense Summary'!$T$17</t>
  </si>
  <si>
    <t>='Travel Expense Summary'!$R$18,'Travel Expense Summary'!$S$18,'Travel Expense Summary'!$T$18</t>
  </si>
  <si>
    <t>='Travel Expense Summary'!$R$19,'Travel Expense Summary'!$S$19,'Travel Expense Summary'!$T$19</t>
  </si>
  <si>
    <t>='Travel Expense Summary'!$R$20,'Travel Expense Summary'!$S$20,'Travel Expense Summary'!$T$20</t>
  </si>
  <si>
    <t>='Travel Expense Summary'!$R$21,'Travel Expense Summary'!$S$21,'Travel Expense Summary'!$T$21</t>
  </si>
  <si>
    <t>='Travel Expense Summary'!$R$22,'Travel Expense Summary'!$S$22,'Travel Expense Summary'!$T$22</t>
  </si>
  <si>
    <t>Other_DateArray</t>
  </si>
  <si>
    <t>='Travel Expense Summary'!$I$27:$I$37</t>
  </si>
  <si>
    <t>Other_DescriptionArray</t>
  </si>
  <si>
    <t>='Travel Expense Summary'!$M$27:$M$37</t>
  </si>
  <si>
    <t>Other_ExpenseTypeArray</t>
  </si>
  <si>
    <t>='Travel Expense Summary'!$K$27:$L$37</t>
  </si>
  <si>
    <t>Other_FromArray</t>
  </si>
  <si>
    <t>='Travel Expense Summary'!$R$27:$R$37</t>
  </si>
  <si>
    <t>Other_KMArray</t>
  </si>
  <si>
    <t>='Travel Expense Summary'!$Y$27:$Y$37</t>
  </si>
  <si>
    <t>Other_ReceiptAmountArray</t>
  </si>
  <si>
    <t>='Travel Expense Summary'!$X$27:$X$37</t>
  </si>
  <si>
    <t>Other_ToArray</t>
  </si>
  <si>
    <t>='Travel Expense Summary'!$T$27:$T$37</t>
  </si>
  <si>
    <t>Other_TotalArray</t>
  </si>
  <si>
    <t>='Travel Expense Summary'!$Z$27:$Z$37</t>
  </si>
  <si>
    <t>='Travel Expense Summary'!$I$27</t>
  </si>
  <si>
    <t>='Travel Expense Summary'!$I$28</t>
  </si>
  <si>
    <t>='Travel Expense Summary'!$I$29</t>
  </si>
  <si>
    <t>='Travel Expense Summary'!$I$30</t>
  </si>
  <si>
    <t>='Travel Expense Summary'!$I$31</t>
  </si>
  <si>
    <t>='Travel Expense Summary'!$I$32</t>
  </si>
  <si>
    <t>='Travel Expense Summary'!$I$33</t>
  </si>
  <si>
    <t>='Travel Expense Summary'!$I$34</t>
  </si>
  <si>
    <t>='Travel Expense Summary'!$I$35</t>
  </si>
  <si>
    <t>='Travel Expense Summary'!$I$36</t>
  </si>
  <si>
    <t>='Travel Expense Summary'!$I$37</t>
  </si>
  <si>
    <t>='Travel Expense Summary'!$M$27</t>
  </si>
  <si>
    <t>='Travel Expense Summary'!$M$28</t>
  </si>
  <si>
    <t>='Travel Expense Summary'!$M$29</t>
  </si>
  <si>
    <t>='Travel Expense Summary'!$M$30</t>
  </si>
  <si>
    <t>='Travel Expense Summary'!$M$31</t>
  </si>
  <si>
    <t>='Travel Expense Summary'!$M$32</t>
  </si>
  <si>
    <t>='Travel Expense Summary'!$M$33</t>
  </si>
  <si>
    <t>='Travel Expense Summary'!$M$34</t>
  </si>
  <si>
    <t>='Travel Expense Summary'!$M$35</t>
  </si>
  <si>
    <t>='Travel Expense Summary'!$M$36</t>
  </si>
  <si>
    <t>='Travel Expense Summary'!$M$37</t>
  </si>
  <si>
    <t>='Travel Expense Summary'!$K$27</t>
  </si>
  <si>
    <t>='Travel Expense Summary'!$K$28</t>
  </si>
  <si>
    <t>='Travel Expense Summary'!$K$29</t>
  </si>
  <si>
    <t>='Travel Expense Summary'!$K$30</t>
  </si>
  <si>
    <t>='Travel Expense Summary'!$K$31</t>
  </si>
  <si>
    <t>='Travel Expense Summary'!$K$32</t>
  </si>
  <si>
    <t>='Travel Expense Summary'!$K$33</t>
  </si>
  <si>
    <t>='Travel Expense Summary'!$K$34</t>
  </si>
  <si>
    <t>='Travel Expense Summary'!$K$35</t>
  </si>
  <si>
    <t>='Travel Expense Summary'!$K$36</t>
  </si>
  <si>
    <t>='Travel Expense Summary'!$K$37</t>
  </si>
  <si>
    <t>='Travel Expense Summary'!$R$27</t>
  </si>
  <si>
    <t>='Travel Expense Summary'!$R$28</t>
  </si>
  <si>
    <t>='Travel Expense Summary'!$R$29</t>
  </si>
  <si>
    <t>='Travel Expense Summary'!$R$30</t>
  </si>
  <si>
    <t>='Travel Expense Summary'!$R$31</t>
  </si>
  <si>
    <t>='Travel Expense Summary'!$R$32</t>
  </si>
  <si>
    <t>='Travel Expense Summary'!$R$33</t>
  </si>
  <si>
    <t>='Travel Expense Summary'!$R$34</t>
  </si>
  <si>
    <t>='Travel Expense Summary'!$R$35</t>
  </si>
  <si>
    <t>='Travel Expense Summary'!$R$36</t>
  </si>
  <si>
    <t>='Travel Expense Summary'!$R$37</t>
  </si>
  <si>
    <t>='Travel Expense Summary'!$Y$27</t>
  </si>
  <si>
    <t>='Travel Expense Summary'!$Y$28</t>
  </si>
  <si>
    <t>='Travel Expense Summary'!$Y$29</t>
  </si>
  <si>
    <t>='Travel Expense Summary'!$Y$30</t>
  </si>
  <si>
    <t>='Travel Expense Summary'!$Y$31</t>
  </si>
  <si>
    <t>='Travel Expense Summary'!$Y$32</t>
  </si>
  <si>
    <t>='Travel Expense Summary'!$Y$33</t>
  </si>
  <si>
    <t>='Travel Expense Summary'!$Y$34</t>
  </si>
  <si>
    <t>='Travel Expense Summary'!$Y$35</t>
  </si>
  <si>
    <t>='Travel Expense Summary'!$Y$36</t>
  </si>
  <si>
    <t>='Travel Expense Summary'!$Y$37</t>
  </si>
  <si>
    <t>='Travel Expense Summary'!$X$27</t>
  </si>
  <si>
    <t>='Travel Expense Summary'!$X$28</t>
  </si>
  <si>
    <t>='Travel Expense Summary'!$X$29</t>
  </si>
  <si>
    <t>='Travel Expense Summary'!$X$30</t>
  </si>
  <si>
    <t>='Travel Expense Summary'!$X$31</t>
  </si>
  <si>
    <t>='Travel Expense Summary'!$X$32</t>
  </si>
  <si>
    <t>='Travel Expense Summary'!$X$33</t>
  </si>
  <si>
    <t>='Travel Expense Summary'!$X$34</t>
  </si>
  <si>
    <t>='Travel Expense Summary'!$X$35</t>
  </si>
  <si>
    <t>='Travel Expense Summary'!$X$36</t>
  </si>
  <si>
    <t>='Travel Expense Summary'!$X$37</t>
  </si>
  <si>
    <t>='Travel Expense Summary'!$T$27</t>
  </si>
  <si>
    <t>='Travel Expense Summary'!$T$28</t>
  </si>
  <si>
    <t>='Travel Expense Summary'!$T$29</t>
  </si>
  <si>
    <t>='Travel Expense Summary'!$T$30</t>
  </si>
  <si>
    <t>='Travel Expense Summary'!$T$31</t>
  </si>
  <si>
    <t>='Travel Expense Summary'!$T$32</t>
  </si>
  <si>
    <t>='Travel Expense Summary'!$T$33</t>
  </si>
  <si>
    <t>='Travel Expense Summary'!$T$34</t>
  </si>
  <si>
    <t>='Travel Expense Summary'!$T$35</t>
  </si>
  <si>
    <t>='Travel Expense Summary'!$T$36</t>
  </si>
  <si>
    <t>='Travel Expense Summary'!$T$37</t>
  </si>
  <si>
    <t>PostalValidated</t>
  </si>
  <si>
    <t>='Particulars Validation'!$W$16</t>
  </si>
  <si>
    <t>ReceiptAreaMeals</t>
  </si>
  <si>
    <t>='Travel Expense Summary'!$R$13:$U$22</t>
  </si>
  <si>
    <t>ReceiptEntryArea</t>
  </si>
  <si>
    <t>='Travel Expense Summary'!$P$13:$U$22,'Travel Expense Summary'!$I$27:$Y$36</t>
  </si>
  <si>
    <t>='Travel Expense Summary'!$O$11,'Travel Expense Summary'!$H$25</t>
  </si>
  <si>
    <t>SubmissionDateVal_End</t>
  </si>
  <si>
    <t>='Particulars Validation'!$D$79</t>
  </si>
  <si>
    <t>SubmissionDateVal_Start</t>
  </si>
  <si>
    <t>='Particulars Validation'!$D$78</t>
  </si>
  <si>
    <t>Table_MealClaims</t>
  </si>
  <si>
    <t>='Travel Expense Summary'!$P$13+'Travel Expense Summary'!$P$13:$Z$22</t>
  </si>
  <si>
    <t>Table_OtherExps</t>
  </si>
  <si>
    <t>='Travel Expense Summary'!$J$27:$Z$36</t>
  </si>
  <si>
    <t>Total_Advance</t>
  </si>
  <si>
    <t>=IF(IFERROR(VLOOKUP(Field17_ClaimType,Table_ClaimType,MATCH(Table_ClaimType[[#Headers],[Advance Amount Available]],Table_ClaimType[#Headers],0),FALSE),FALSE),-Field18_TravelAdvanceAmount,0)</t>
  </si>
  <si>
    <t>Total_ClaimAllocation</t>
  </si>
  <si>
    <t>=SUM(ClaimAllocation_AmountArray)</t>
  </si>
  <si>
    <t>Total_Eligible</t>
  </si>
  <si>
    <t>=IF(OR(Field30_MaximumAmount=0,Field30_MaximumAmount=""),Total_ExpenseClaimed,IF(Field30_MaximumAmount&lt;=Total_ExpenseClaimed,Field30_MaximumAmount,Total_ExpenseClaimed))</t>
  </si>
  <si>
    <t>Total_ExpenseClaimed</t>
  </si>
  <si>
    <t>=SUM(Total_Meals,Total_TransAccomm,Total_Registration)</t>
  </si>
  <si>
    <t>Total_Meals</t>
  </si>
  <si>
    <t>=SUMIF(Other_ExpenseTypeArray,"Meals*",Other_TotalArray)+'Travel Expense Summary'!$Z$23</t>
  </si>
  <si>
    <t>Total_Other</t>
  </si>
  <si>
    <t>='Travel Expense Summary'!$Z$38</t>
  </si>
  <si>
    <t>Total_Payable</t>
  </si>
  <si>
    <t>=Total_Eligible+Total_Advance</t>
  </si>
  <si>
    <t>Total_Registration</t>
  </si>
  <si>
    <t>=SUMIF(Other_ExpenseTypeArray,"Reg*",Other_TotalArray)</t>
  </si>
  <si>
    <t>Total_TransAccomm</t>
  </si>
  <si>
    <t>=SUMIF(Other_ExpenseTypeArray,"Trans*",Other_TotalArray)+SUMIF(Other_ExpenseTypeArray,"Accomm*",Other_TotalArray)</t>
  </si>
  <si>
    <t>TravelTextDescription</t>
  </si>
  <si>
    <t>='Text Summary'!$B$3</t>
  </si>
  <si>
    <t>TravelTextDescription_Display</t>
  </si>
  <si>
    <t>='Text Summary'!$B$2</t>
  </si>
  <si>
    <t>Table_Dates</t>
  </si>
  <si>
    <t>Table_TripType</t>
  </si>
  <si>
    <t>Table_Prefix</t>
  </si>
  <si>
    <t>Table_PaymentOption</t>
  </si>
  <si>
    <t>Table_AddressType</t>
  </si>
  <si>
    <t>Table_Provinces</t>
  </si>
  <si>
    <t>Table_Postal</t>
  </si>
  <si>
    <t>Table_PayeeType</t>
  </si>
  <si>
    <t>Table_SubmittingPortfolio</t>
  </si>
  <si>
    <t>Table_Range</t>
  </si>
  <si>
    <t>Table_YesNo</t>
  </si>
  <si>
    <t>Table_ClaimType</t>
  </si>
  <si>
    <t>Table_Purpose</t>
  </si>
  <si>
    <t>Table_Requester</t>
  </si>
  <si>
    <t>Table_MealDateDuplicates</t>
  </si>
  <si>
    <t>Table_ClaimAllocationFund</t>
  </si>
  <si>
    <t>Dropdown_BankingOptions</t>
  </si>
  <si>
    <t>Dropdown_SubmittingUnit</t>
  </si>
  <si>
    <t>Mode</t>
  </si>
  <si>
    <t>Count</t>
  </si>
  <si>
    <t>Meal Date Duplicate Reference</t>
  </si>
  <si>
    <t>For Travel End Date Drop-down</t>
  </si>
  <si>
    <t>For Receipt Date Drop-down</t>
  </si>
  <si>
    <t>Postal required</t>
  </si>
  <si>
    <t>Change to 'Submitting Portfolio'</t>
  </si>
  <si>
    <t>To set a 'FUND' for the travel advance code.</t>
  </si>
  <si>
    <t>Day #</t>
  </si>
  <si>
    <t>Travel End Date Available</t>
  </si>
  <si>
    <t>Receipt Date Available</t>
  </si>
  <si>
    <t>Banking Options</t>
  </si>
  <si>
    <t>Top</t>
  </si>
  <si>
    <t>Bottom</t>
  </si>
  <si>
    <t>Province</t>
  </si>
  <si>
    <t>Abbr</t>
  </si>
  <si>
    <t>Check #</t>
  </si>
  <si>
    <t>Check Name</t>
  </si>
  <si>
    <t>Result</t>
  </si>
  <si>
    <t>Result (if needed)</t>
  </si>
  <si>
    <t>Mileage Reimbursement Rate</t>
  </si>
  <si>
    <t>ClaimDetails Available</t>
  </si>
  <si>
    <t>Submitting Portfolio</t>
  </si>
  <si>
    <t>HST Calculation</t>
  </si>
  <si>
    <t>YesNo</t>
  </si>
  <si>
    <t>Advance Amount Available</t>
  </si>
  <si>
    <t>Form Required Available</t>
  </si>
  <si>
    <t>Requester</t>
  </si>
  <si>
    <t>MealDates</t>
  </si>
  <si>
    <t>EQUALS MODE</t>
  </si>
  <si>
    <t>Line</t>
  </si>
  <si>
    <t>INDEX</t>
  </si>
  <si>
    <t>REF ONLY</t>
  </si>
  <si>
    <t>COUNTIF MATCH FUND</t>
  </si>
  <si>
    <t>ClaimAllocation_Fund</t>
  </si>
  <si>
    <t>ISBLANK</t>
  </si>
  <si>
    <t xml:space="preserve">Field Length = 7 </t>
  </si>
  <si>
    <t>Dr.</t>
  </si>
  <si>
    <t xml:space="preserve">Direct Deposit </t>
  </si>
  <si>
    <t>(previously submitted)</t>
  </si>
  <si>
    <t>Newfoundland and Labrador</t>
  </si>
  <si>
    <t>NL</t>
  </si>
  <si>
    <t>Char is text</t>
  </si>
  <si>
    <t>Staff &amp; Non-learner</t>
  </si>
  <si>
    <t>Administration and Operational Support</t>
  </si>
  <si>
    <t>No</t>
  </si>
  <si>
    <t>Travel Advance</t>
  </si>
  <si>
    <t>Conference</t>
  </si>
  <si>
    <t>Employer (No Form Required)</t>
  </si>
  <si>
    <t>Mr.</t>
  </si>
  <si>
    <t>(documentation attached)</t>
  </si>
  <si>
    <t>Business</t>
  </si>
  <si>
    <t>Prince Edward Island</t>
  </si>
  <si>
    <t>PE</t>
  </si>
  <si>
    <t>Char is value</t>
  </si>
  <si>
    <t>UME Learner</t>
  </si>
  <si>
    <t>Faculty Affairs and CEPD</t>
  </si>
  <si>
    <t>Domestic (All in Canada)</t>
  </si>
  <si>
    <t>Yes</t>
  </si>
  <si>
    <t>Final - No Advance Received</t>
  </si>
  <si>
    <t>Other</t>
  </si>
  <si>
    <t>Employee (Application Form Required)</t>
  </si>
  <si>
    <t xml:space="preserve">Mail Cheque </t>
  </si>
  <si>
    <t>(address specified)</t>
  </si>
  <si>
    <t>Temporary/Local</t>
  </si>
  <si>
    <t>Nova Scotia</t>
  </si>
  <si>
    <t>NS</t>
  </si>
  <si>
    <t>Postgraduate Resident</t>
  </si>
  <si>
    <t>Office of the Dean-CEO</t>
  </si>
  <si>
    <t>International</t>
  </si>
  <si>
    <t>Final - Advance Received</t>
  </si>
  <si>
    <t xml:space="preserve">Pick Up Cheque </t>
  </si>
  <si>
    <t>(NOSM at Laurentian, Finance Unit)</t>
  </si>
  <si>
    <t>New Brunswick</t>
  </si>
  <si>
    <t>NB</t>
  </si>
  <si>
    <t>Char is space</t>
  </si>
  <si>
    <t>Office of the Vice Dean Academic</t>
  </si>
  <si>
    <t>Broaden the possibilities??</t>
  </si>
  <si>
    <t>No longer used!!!</t>
  </si>
  <si>
    <t>(NOSM at Lakehead, Finance Unit)</t>
  </si>
  <si>
    <t>Quebec</t>
  </si>
  <si>
    <t>QC</t>
  </si>
  <si>
    <t>Elective Learner</t>
  </si>
  <si>
    <t>Conference?</t>
  </si>
  <si>
    <t>This is a free text field</t>
  </si>
  <si>
    <t>Ontario</t>
  </si>
  <si>
    <t>Research</t>
  </si>
  <si>
    <t>Course?</t>
  </si>
  <si>
    <t>Manitoba</t>
  </si>
  <si>
    <t>MB</t>
  </si>
  <si>
    <t>Undergraduate Medical Education (UME)</t>
  </si>
  <si>
    <t>Educational?</t>
  </si>
  <si>
    <t>Saskatchewan</t>
  </si>
  <si>
    <t>SK</t>
  </si>
  <si>
    <t>Alberta</t>
  </si>
  <si>
    <t>AB</t>
  </si>
  <si>
    <t>Postal Code Validated</t>
  </si>
  <si>
    <t>British Columbia</t>
  </si>
  <si>
    <t>BC</t>
  </si>
  <si>
    <t>Yukon</t>
  </si>
  <si>
    <t>YT</t>
  </si>
  <si>
    <t>Northwest Territories</t>
  </si>
  <si>
    <t>NT</t>
  </si>
  <si>
    <t>Nunavut</t>
  </si>
  <si>
    <t>NU</t>
  </si>
  <si>
    <t>Outside of Canada</t>
  </si>
  <si>
    <t>Not in Canada</t>
  </si>
  <si>
    <t>Dropdown_Receipt Dates</t>
  </si>
  <si>
    <t>=OFFSET(INDEX(Table_Dates[Receipt Date Available],1,1),0,0,LEN(Table_Dates[Receipt Date Available])-COUNTIF(Table_Dates[Receipt Date Available],"XXXX"),1)</t>
  </si>
  <si>
    <t>SubmissionDate_Validation</t>
  </si>
  <si>
    <t>Have a warning at input if the 'submission' date is greater than 3 months after the travel end date</t>
  </si>
  <si>
    <t>Submission Date Range</t>
  </si>
  <si>
    <t>Beginning of 3 months</t>
  </si>
  <si>
    <t>Not Used</t>
  </si>
  <si>
    <t>End of 3 months</t>
  </si>
  <si>
    <t>Used</t>
  </si>
  <si>
    <t>Table_KMCommunity</t>
  </si>
  <si>
    <t>Table_KMCentre</t>
  </si>
  <si>
    <t>Table_MealMax</t>
  </si>
  <si>
    <t>Daily Limit</t>
  </si>
  <si>
    <t>Meal Initial</t>
  </si>
  <si>
    <t>Meal Name</t>
  </si>
  <si>
    <t>Meal Maximum</t>
  </si>
  <si>
    <t>Breakfast</t>
  </si>
  <si>
    <t>Lunch</t>
  </si>
  <si>
    <t>Dinner</t>
  </si>
  <si>
    <t>Table_Expenses</t>
  </si>
  <si>
    <t>manual</t>
  </si>
  <si>
    <t>calc</t>
  </si>
  <si>
    <t>Manual</t>
  </si>
  <si>
    <t>Expense</t>
  </si>
  <si>
    <t>Expenses</t>
  </si>
  <si>
    <t>Class</t>
  </si>
  <si>
    <t>Summary Pot #</t>
  </si>
  <si>
    <t>Summary Pot</t>
  </si>
  <si>
    <t>Receipt or Mileage</t>
  </si>
  <si>
    <t>DescriptionRequired</t>
  </si>
  <si>
    <t>FromRequired</t>
  </si>
  <si>
    <t>ToRequired</t>
  </si>
  <si>
    <t>ReceiptRequired</t>
  </si>
  <si>
    <t>KMRequired</t>
  </si>
  <si>
    <t>Hotel/Motel</t>
  </si>
  <si>
    <t>Accomm</t>
  </si>
  <si>
    <t>Receipt</t>
  </si>
  <si>
    <t>Private Res.</t>
  </si>
  <si>
    <t>Airfare</t>
  </si>
  <si>
    <t>Trans</t>
  </si>
  <si>
    <t>Baggage Fee</t>
  </si>
  <si>
    <t>Rental Vehicle</t>
  </si>
  <si>
    <t>Fuel</t>
  </si>
  <si>
    <t>Taxi</t>
  </si>
  <si>
    <t>Mileage</t>
  </si>
  <si>
    <t>Max Mileage</t>
  </si>
  <si>
    <t>Parking</t>
  </si>
  <si>
    <t>Bus</t>
  </si>
  <si>
    <t>Public</t>
  </si>
  <si>
    <t>Train</t>
  </si>
  <si>
    <t>Reg</t>
  </si>
  <si>
    <t>C</t>
  </si>
  <si>
    <t>Course</t>
  </si>
  <si>
    <t>Groceries</t>
  </si>
  <si>
    <t>Meals</t>
  </si>
  <si>
    <t>A</t>
  </si>
  <si>
    <t>Pot #</t>
  </si>
  <si>
    <t>Summary Pots</t>
  </si>
  <si>
    <t>SUM</t>
  </si>
  <si>
    <t>Meals &amp; Groceries</t>
  </si>
  <si>
    <t>Transportation &amp; Accommodation</t>
  </si>
  <si>
    <t>Registration</t>
  </si>
  <si>
    <t>Other Total</t>
  </si>
  <si>
    <t>Confirmed</t>
  </si>
  <si>
    <t>Table for Hiding the Receipt and KM columns with conditional formatting.</t>
  </si>
  <si>
    <t>Row</t>
  </si>
  <si>
    <t>HideReceipt</t>
  </si>
  <si>
    <t>HideKM</t>
  </si>
  <si>
    <t>ReceiptReference</t>
  </si>
  <si>
    <t>KMReferences</t>
  </si>
  <si>
    <t>Receipts Fields to Hide</t>
  </si>
  <si>
    <t>KM Fields to Hide</t>
  </si>
  <si>
    <t>Table_SectionNames</t>
  </si>
  <si>
    <t>Dropdown_SectionNum</t>
  </si>
  <si>
    <t>Include #?</t>
  </si>
  <si>
    <t>Section Header</t>
  </si>
  <si>
    <t>Sheet Errors</t>
  </si>
  <si>
    <t>Payee Details</t>
  </si>
  <si>
    <t>Travel Details</t>
  </si>
  <si>
    <t>Claim Details</t>
  </si>
  <si>
    <t>Travel Particulars</t>
  </si>
  <si>
    <t>Contact (if different than 'Payee')</t>
  </si>
  <si>
    <t>Other Expenses</t>
  </si>
  <si>
    <t>Funding Maximum (if applicable)</t>
  </si>
  <si>
    <t>Expense Summary</t>
  </si>
  <si>
    <t>Claim Allocation</t>
  </si>
  <si>
    <t>Authorization</t>
  </si>
  <si>
    <t>Claim Status</t>
  </si>
  <si>
    <t>HST</t>
  </si>
  <si>
    <t>Submission Date</t>
  </si>
  <si>
    <t>Milestone #1</t>
  </si>
  <si>
    <t>Milestone #2</t>
  </si>
  <si>
    <t>Table_ClaimStatus</t>
  </si>
  <si>
    <t>Dropdown …. If needed</t>
  </si>
  <si>
    <t>Calculation</t>
  </si>
  <si>
    <t>Manual Message</t>
  </si>
  <si>
    <t>COLOUR ON</t>
  </si>
  <si>
    <t>Sheet Errors Exist</t>
  </si>
  <si>
    <t>Sheet errors exist</t>
  </si>
  <si>
    <t>Section 1 is incomplete</t>
  </si>
  <si>
    <t>Section 2 is incomplete</t>
  </si>
  <si>
    <t>Section 3 is incomplete</t>
  </si>
  <si>
    <t>Section 4 is incomeplete</t>
  </si>
  <si>
    <t>Section 5 is incomplete</t>
  </si>
  <si>
    <t>Section 6 is incomplete</t>
  </si>
  <si>
    <t>Section 7 is incomplete</t>
  </si>
  <si>
    <t>Submission Date is incomplete</t>
  </si>
  <si>
    <t>Particulars and receipts are complete</t>
  </si>
  <si>
    <t>Ready for review</t>
  </si>
  <si>
    <t>Section 8 is incomplete</t>
  </si>
  <si>
    <t>Section 9 is incomplete</t>
  </si>
  <si>
    <t>Section 10 is incomplete</t>
  </si>
  <si>
    <t>Section 11 is incomplete</t>
  </si>
  <si>
    <t>Entire form is complete</t>
  </si>
  <si>
    <t>Ready for authorization</t>
  </si>
  <si>
    <t>Display Summary</t>
  </si>
  <si>
    <t>&lt;--- Formula is set so that the 'TEXT SUMMARY' will display at either of the "Milestones" (Ready for Review or Ready for Authorization)</t>
  </si>
  <si>
    <t>Travel Summary Description</t>
  </si>
  <si>
    <t>MAX LENGTH</t>
  </si>
  <si>
    <t>Original</t>
  </si>
  <si>
    <t>Too Long?</t>
  </si>
  <si>
    <t>Length</t>
  </si>
  <si>
    <t>Adjusted #1</t>
  </si>
  <si>
    <t>New Length 1</t>
  </si>
  <si>
    <t>Too Long</t>
  </si>
  <si>
    <t>Adjusted #2</t>
  </si>
  <si>
    <t>New Length 2</t>
  </si>
  <si>
    <t>Adjusted #3</t>
  </si>
  <si>
    <t>New Length 3</t>
  </si>
  <si>
    <t>Line 1</t>
  </si>
  <si>
    <t>Line 2</t>
  </si>
  <si>
    <t>Line 3</t>
  </si>
  <si>
    <t>Things that could be added:</t>
  </si>
  <si>
    <t xml:space="preserve">Error for cut and paste reference breaks. </t>
  </si>
  <si>
    <t>Stopped in Sault Ste Marie overnight as travel exceeded 800 km one 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</si>
</sst>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0.00_-;\-&quot;$&quot;* #,##0.00_-;_-&quot;$&quot;* &quot;-&quot;??_-;_-@_-"/>
    <numFmt numFmtId="43" formatCode="_-* #,##0.00_-;\-* #,##0.00_-;_-* &quot;-&quot;??_-;_-@_-"/>
    <numFmt numFmtId="164" formatCode="0000"/>
    <numFmt numFmtId="165" formatCode="00\-000000\-00000\-00"/>
    <numFmt numFmtId="166" formatCode="#,##0.00_);\ \(#,##0.00\);\-_)"/>
    <numFmt numFmtId="167" formatCode="\(###\)\ ###\-####"/>
    <numFmt numFmtId="168" formatCode="000\ 000"/>
    <numFmt numFmtId="169" formatCode="00"/>
    <numFmt numFmtId="170" formatCode="#,##0_);\ \(#,##0\);\-_)"/>
    <numFmt numFmtId="171" formatCode="#,##0\ &quot;km&quot;"/>
  </numFmts>
  <fonts count="39" x14ac:knownFonts="1">
    <font>
      <sz val="11"/>
      <color theme="1"/>
      <name val="Calibri"/>
      <family val="2"/>
      <scheme val="minor"/>
    </font>
    <font>
      <sz val="11"/>
      <color theme="1"/>
      <name val="Calibri"/>
      <family val="2"/>
      <scheme val="minor"/>
    </font>
    <font>
      <b/>
      <sz val="16"/>
      <color theme="0"/>
      <name val="Calibri"/>
      <family val="2"/>
      <scheme val="minor"/>
    </font>
    <font>
      <sz val="8"/>
      <color theme="1"/>
      <name val="Calibri"/>
      <family val="2"/>
      <scheme val="minor"/>
    </font>
    <font>
      <b/>
      <sz val="11"/>
      <color theme="0"/>
      <name val="Calibri"/>
      <family val="2"/>
      <scheme val="minor"/>
    </font>
    <font>
      <b/>
      <sz val="16"/>
      <color theme="0"/>
      <name val="Arial"/>
      <family val="2"/>
    </font>
    <font>
      <sz val="11"/>
      <color theme="1"/>
      <name val="Arial"/>
      <family val="2"/>
    </font>
    <font>
      <sz val="6"/>
      <color theme="1"/>
      <name val="Arial"/>
      <family val="2"/>
    </font>
    <font>
      <b/>
      <sz val="10"/>
      <color theme="1"/>
      <name val="Arial"/>
      <family val="2"/>
    </font>
    <font>
      <b/>
      <sz val="12"/>
      <color theme="0"/>
      <name val="Arial"/>
      <family val="2"/>
    </font>
    <font>
      <b/>
      <sz val="12"/>
      <name val="Arial"/>
      <family val="2"/>
    </font>
    <font>
      <sz val="12"/>
      <color theme="1"/>
      <name val="Arial"/>
      <family val="2"/>
    </font>
    <font>
      <b/>
      <sz val="12"/>
      <color theme="1"/>
      <name val="Arial"/>
      <family val="2"/>
    </font>
    <font>
      <sz val="12"/>
      <color theme="1"/>
      <name val="Calibri"/>
      <family val="2"/>
      <scheme val="minor"/>
    </font>
    <font>
      <b/>
      <sz val="11"/>
      <color theme="1"/>
      <name val="Calibri"/>
      <family val="2"/>
      <scheme val="minor"/>
    </font>
    <font>
      <sz val="12"/>
      <name val="Arial"/>
      <family val="2"/>
    </font>
    <font>
      <b/>
      <sz val="11"/>
      <color theme="1"/>
      <name val="Arial"/>
      <family val="2"/>
    </font>
    <font>
      <sz val="24"/>
      <color theme="1"/>
      <name val="Calibri"/>
      <family val="2"/>
      <scheme val="minor"/>
    </font>
    <font>
      <b/>
      <sz val="20"/>
      <color theme="1"/>
      <name val="Arial"/>
      <family val="2"/>
    </font>
    <font>
      <sz val="16"/>
      <color theme="1"/>
      <name val="Arial"/>
      <family val="2"/>
    </font>
    <font>
      <i/>
      <sz val="12"/>
      <color theme="1"/>
      <name val="Arial"/>
      <family val="2"/>
    </font>
    <font>
      <b/>
      <sz val="12"/>
      <color theme="0"/>
      <name val="Calibri"/>
      <family val="2"/>
      <scheme val="minor"/>
    </font>
    <font>
      <b/>
      <sz val="36"/>
      <color theme="0"/>
      <name val="Arial"/>
      <family val="2"/>
    </font>
    <font>
      <sz val="14"/>
      <color theme="1"/>
      <name val="Arial"/>
      <family val="2"/>
    </font>
    <font>
      <b/>
      <sz val="8"/>
      <name val="Arial"/>
      <family val="2"/>
    </font>
    <font>
      <sz val="7.5"/>
      <color theme="1"/>
      <name val="Arial"/>
      <family val="2"/>
    </font>
    <font>
      <b/>
      <u/>
      <sz val="7.5"/>
      <color theme="1"/>
      <name val="Arial"/>
      <family val="2"/>
    </font>
    <font>
      <u/>
      <sz val="11"/>
      <color theme="10"/>
      <name val="Calibri"/>
      <family val="2"/>
      <scheme val="minor"/>
    </font>
    <font>
      <b/>
      <sz val="7.5"/>
      <color theme="1"/>
      <name val="Arial"/>
      <family val="2"/>
    </font>
    <font>
      <sz val="7.5"/>
      <color theme="1"/>
      <name val="Calibri"/>
      <family val="2"/>
      <scheme val="minor"/>
    </font>
    <font>
      <u/>
      <sz val="12"/>
      <color theme="1"/>
      <name val="Arial"/>
      <family val="2"/>
    </font>
    <font>
      <b/>
      <sz val="14"/>
      <color theme="1"/>
      <name val="Arial"/>
      <family val="2"/>
    </font>
    <font>
      <b/>
      <sz val="14"/>
      <name val="Arial"/>
      <family val="2"/>
    </font>
    <font>
      <b/>
      <sz val="22"/>
      <color theme="0"/>
      <name val="Arial"/>
      <family val="2"/>
    </font>
    <font>
      <b/>
      <sz val="16"/>
      <color rgb="FF061A49"/>
      <name val="Arial"/>
      <family val="2"/>
    </font>
    <font>
      <u/>
      <sz val="14"/>
      <color theme="10"/>
      <name val="Arial"/>
      <family val="2"/>
    </font>
    <font>
      <b/>
      <sz val="22"/>
      <color theme="1"/>
      <name val="Arial"/>
      <family val="2"/>
    </font>
    <font>
      <b/>
      <sz val="28"/>
      <color rgb="FF061A49"/>
      <name val="Arial"/>
      <family val="2"/>
    </font>
    <font>
      <sz val="7"/>
      <color theme="1"/>
      <name val="Arial"/>
      <family val="2"/>
    </font>
  </fonts>
  <fills count="27">
    <fill>
      <patternFill patternType="none"/>
    </fill>
    <fill>
      <patternFill patternType="gray125"/>
    </fill>
    <fill>
      <patternFill patternType="solid">
        <fgColor theme="1" tint="0.249977111117893"/>
        <bgColor indexed="64"/>
      </patternFill>
    </fill>
    <fill>
      <patternFill patternType="solid">
        <fgColor rgb="FF00B0F0"/>
        <bgColor indexed="64"/>
      </patternFill>
    </fill>
    <fill>
      <patternFill patternType="solid">
        <fgColor theme="1"/>
        <bgColor theme="1"/>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061A49"/>
        <bgColor indexed="64"/>
      </patternFill>
    </fill>
    <fill>
      <patternFill patternType="solid">
        <fgColor rgb="FFFFB300"/>
        <bgColor indexed="64"/>
      </patternFill>
    </fill>
    <fill>
      <patternFill patternType="solid">
        <fgColor rgb="FF00B050"/>
        <bgColor indexed="64"/>
      </patternFill>
    </fill>
    <fill>
      <patternFill patternType="solid">
        <fgColor theme="1"/>
        <bgColor indexed="64"/>
      </patternFill>
    </fill>
    <fill>
      <patternFill patternType="solid">
        <fgColor rgb="FFFF4B4B"/>
        <bgColor indexed="64"/>
      </patternFill>
    </fill>
    <fill>
      <patternFill patternType="solid">
        <fgColor rgb="FFFFFF00"/>
        <bgColor indexed="64"/>
      </patternFill>
    </fill>
    <fill>
      <patternFill patternType="solid">
        <fgColor theme="8" tint="0.39997558519241921"/>
        <bgColor indexed="64"/>
      </patternFill>
    </fill>
    <fill>
      <patternFill patternType="solid">
        <fgColor rgb="FFC00000"/>
        <bgColor indexed="64"/>
      </patternFill>
    </fill>
    <fill>
      <patternFill patternType="solid">
        <fgColor rgb="FFFF0000"/>
        <bgColor indexed="64"/>
      </patternFill>
    </fill>
    <fill>
      <patternFill patternType="solid">
        <fgColor theme="3"/>
        <bgColor indexed="64"/>
      </patternFill>
    </fill>
    <fill>
      <patternFill patternType="solid">
        <fgColor theme="0"/>
        <bgColor auto="1"/>
      </patternFill>
    </fill>
    <fill>
      <patternFill patternType="solid">
        <fgColor theme="0" tint="-0.14996795556505021"/>
        <bgColor indexed="64"/>
      </patternFill>
    </fill>
    <fill>
      <patternFill patternType="solid">
        <fgColor theme="8" tint="0.79998168889431442"/>
        <bgColor indexed="64"/>
      </patternFill>
    </fill>
    <fill>
      <patternFill patternType="solid">
        <fgColor theme="6"/>
        <bgColor indexed="64"/>
      </patternFill>
    </fill>
    <fill>
      <patternFill patternType="solid">
        <fgColor rgb="FF061A49"/>
        <bgColor theme="1"/>
      </patternFill>
    </fill>
    <fill>
      <patternFill patternType="solid">
        <fgColor theme="0" tint="-0.34998626667073579"/>
        <bgColor indexed="64"/>
      </patternFill>
    </fill>
    <fill>
      <patternFill patternType="solid">
        <fgColor theme="8" tint="-0.249977111117893"/>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mediumDashed">
        <color rgb="FF061A49"/>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44" fontId="1" fillId="0" borderId="0" applyFont="0" applyFill="0" applyBorder="0" applyAlignment="0" applyProtection="0"/>
  </cellStyleXfs>
  <cellXfs count="3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14" fontId="0" fillId="0" borderId="0" xfId="0" applyNumberFormat="1" applyAlignment="1">
      <alignment horizontal="center" vertical="top"/>
    </xf>
    <xf numFmtId="0" fontId="0" fillId="0" borderId="0" xfId="0" applyAlignment="1">
      <alignment horizontal="center" vertical="top"/>
    </xf>
    <xf numFmtId="0" fontId="0" fillId="0" borderId="0" xfId="0" applyAlignment="1">
      <alignment wrapText="1"/>
    </xf>
    <xf numFmtId="0" fontId="0" fillId="0" borderId="0" xfId="0" applyAlignment="1">
      <alignment horizontal="center" vertical="top" wrapText="1"/>
    </xf>
    <xf numFmtId="0" fontId="0" fillId="0" borderId="1" xfId="0" applyBorder="1" applyAlignment="1">
      <alignment horizontal="center" vertical="center" wrapText="1"/>
    </xf>
    <xf numFmtId="0" fontId="3" fillId="0" borderId="1" xfId="0" applyFont="1" applyBorder="1" applyAlignment="1">
      <alignment horizontal="center" vertical="center"/>
    </xf>
    <xf numFmtId="0" fontId="0" fillId="0" borderId="0" xfId="0" quotePrefix="1"/>
    <xf numFmtId="0" fontId="0" fillId="0" borderId="0" xfId="0" applyBorder="1" applyAlignment="1">
      <alignment horizontal="center" vertical="center" wrapText="1"/>
    </xf>
    <xf numFmtId="0" fontId="3" fillId="0" borderId="3" xfId="0" applyFont="1" applyBorder="1" applyAlignment="1">
      <alignment horizontal="center" vertical="center"/>
    </xf>
    <xf numFmtId="0" fontId="2" fillId="2" borderId="2" xfId="0" applyFont="1" applyFill="1" applyBorder="1" applyAlignment="1"/>
    <xf numFmtId="0" fontId="2" fillId="2" borderId="0" xfId="0" applyFont="1" applyFill="1" applyBorder="1" applyAlignment="1"/>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0" fillId="0" borderId="0" xfId="0" applyNumberFormat="1" applyAlignment="1">
      <alignment horizontal="center" vertical="top" wrapText="1"/>
    </xf>
    <xf numFmtId="0" fontId="0" fillId="0" borderId="1" xfId="0" applyBorder="1" applyAlignment="1">
      <alignment horizontal="center"/>
    </xf>
    <xf numFmtId="0" fontId="0" fillId="0" borderId="0" xfId="0" applyNumberFormat="1" applyAlignment="1">
      <alignment horizontal="center" vertical="top"/>
    </xf>
    <xf numFmtId="0" fontId="2" fillId="2" borderId="1" xfId="0" applyFont="1" applyFill="1" applyBorder="1" applyAlignment="1">
      <alignment horizontal="center"/>
    </xf>
    <xf numFmtId="0" fontId="0" fillId="11" borderId="0" xfId="0" applyFill="1"/>
    <xf numFmtId="0" fontId="0" fillId="12" borderId="0" xfId="0" applyFill="1"/>
    <xf numFmtId="0" fontId="17" fillId="0" borderId="0" xfId="0" applyFont="1"/>
    <xf numFmtId="0" fontId="14" fillId="0" borderId="0" xfId="0" applyFont="1"/>
    <xf numFmtId="0" fontId="0" fillId="13" borderId="1" xfId="0" applyFill="1" applyBorder="1"/>
    <xf numFmtId="0" fontId="14" fillId="3" borderId="1" xfId="0" applyFont="1" applyFill="1" applyBorder="1" applyAlignment="1">
      <alignment horizontal="center" vertical="top"/>
    </xf>
    <xf numFmtId="10" fontId="0" fillId="0" borderId="1" xfId="2" applyNumberFormat="1" applyFont="1" applyBorder="1"/>
    <xf numFmtId="0" fontId="0" fillId="0" borderId="0" xfId="0" applyAlignment="1">
      <alignment horizontal="right"/>
    </xf>
    <xf numFmtId="0" fontId="0" fillId="0" borderId="0" xfId="0"/>
    <xf numFmtId="43" fontId="0" fillId="0" borderId="0" xfId="1" applyFont="1"/>
    <xf numFmtId="15" fontId="0" fillId="0" borderId="0" xfId="0" applyNumberFormat="1"/>
    <xf numFmtId="0" fontId="11" fillId="0" borderId="0" xfId="0" applyFont="1" applyProtection="1"/>
    <xf numFmtId="0" fontId="11" fillId="0" borderId="0" xfId="0" applyFont="1" applyBorder="1" applyProtection="1"/>
    <xf numFmtId="0" fontId="11" fillId="8" borderId="0" xfId="0" applyFont="1" applyFill="1" applyBorder="1" applyProtection="1"/>
    <xf numFmtId="0" fontId="11" fillId="8" borderId="0" xfId="0" applyFont="1" applyFill="1" applyProtection="1"/>
    <xf numFmtId="0" fontId="0" fillId="8" borderId="0" xfId="0" applyFill="1" applyProtection="1"/>
    <xf numFmtId="0" fontId="12" fillId="10" borderId="1" xfId="0" applyFont="1" applyFill="1" applyBorder="1" applyAlignment="1" applyProtection="1">
      <alignment horizontal="center" vertical="center" wrapText="1"/>
    </xf>
    <xf numFmtId="0" fontId="13" fillId="8" borderId="0" xfId="0" applyFont="1" applyFill="1" applyProtection="1"/>
    <xf numFmtId="166" fontId="11" fillId="0" borderId="1" xfId="0" applyNumberFormat="1" applyFont="1" applyBorder="1" applyAlignment="1" applyProtection="1">
      <alignment horizontal="right" vertical="center"/>
    </xf>
    <xf numFmtId="166" fontId="12" fillId="7" borderId="1" xfId="0" applyNumberFormat="1" applyFont="1" applyFill="1" applyBorder="1" applyAlignment="1" applyProtection="1">
      <alignment horizontal="right" vertical="center"/>
    </xf>
    <xf numFmtId="0" fontId="9" fillId="9" borderId="1" xfId="0" applyFont="1" applyFill="1" applyBorder="1" applyAlignment="1" applyProtection="1">
      <alignment horizontal="center" vertical="center"/>
    </xf>
    <xf numFmtId="0" fontId="11" fillId="7" borderId="1" xfId="0" applyFont="1" applyFill="1" applyBorder="1" applyAlignment="1" applyProtection="1">
      <alignment horizontal="center" vertical="center"/>
    </xf>
    <xf numFmtId="4" fontId="11" fillId="0" borderId="1" xfId="0" applyNumberFormat="1" applyFont="1" applyBorder="1" applyAlignment="1" applyProtection="1">
      <alignment horizontal="center" vertical="center"/>
    </xf>
    <xf numFmtId="0" fontId="11" fillId="7" borderId="18"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4" fillId="9" borderId="1" xfId="0" applyFont="1" applyFill="1" applyBorder="1"/>
    <xf numFmtId="0" fontId="14" fillId="0" borderId="1" xfId="0" applyFont="1" applyBorder="1"/>
    <xf numFmtId="14" fontId="14" fillId="0" borderId="1" xfId="0" applyNumberFormat="1" applyFont="1" applyBorder="1"/>
    <xf numFmtId="166" fontId="6" fillId="7" borderId="1" xfId="0" applyNumberFormat="1" applyFont="1" applyFill="1" applyBorder="1" applyAlignment="1" applyProtection="1">
      <alignment horizontal="right" vertical="center"/>
    </xf>
    <xf numFmtId="166" fontId="16" fillId="7" borderId="1" xfId="0" applyNumberFormat="1" applyFont="1" applyFill="1" applyBorder="1" applyAlignment="1" applyProtection="1">
      <alignment horizontal="right" vertical="center"/>
    </xf>
    <xf numFmtId="43" fontId="0" fillId="0" borderId="0" xfId="1" applyFont="1" applyAlignment="1">
      <alignment horizontal="center" vertical="center"/>
    </xf>
    <xf numFmtId="43" fontId="0" fillId="0" borderId="1" xfId="1" applyFont="1" applyBorder="1" applyAlignment="1">
      <alignment horizontal="center" vertical="center"/>
    </xf>
    <xf numFmtId="166" fontId="6" fillId="7" borderId="1" xfId="0" quotePrefix="1" applyNumberFormat="1" applyFont="1" applyFill="1" applyBorder="1" applyAlignment="1" applyProtection="1">
      <alignment horizontal="right" vertical="center"/>
    </xf>
    <xf numFmtId="0" fontId="0" fillId="14" borderId="0" xfId="0" applyFill="1" applyAlignment="1">
      <alignment horizontal="center" vertical="top"/>
    </xf>
    <xf numFmtId="0" fontId="0" fillId="14" borderId="0" xfId="0" applyNumberFormat="1" applyFill="1" applyAlignment="1">
      <alignment horizontal="center" vertical="top"/>
    </xf>
    <xf numFmtId="166" fontId="6" fillId="7" borderId="1" xfId="1" applyNumberFormat="1" applyFont="1" applyFill="1" applyBorder="1" applyAlignment="1" applyProtection="1">
      <alignment horizontal="right" vertical="center"/>
    </xf>
    <xf numFmtId="0" fontId="0" fillId="16" borderId="0" xfId="0" applyFill="1" applyAlignment="1">
      <alignment horizontal="center"/>
    </xf>
    <xf numFmtId="14" fontId="0" fillId="0" borderId="0" xfId="0" applyNumberFormat="1"/>
    <xf numFmtId="14"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0" xfId="0" applyFont="1" applyBorder="1" applyAlignment="1">
      <alignment horizontal="center" vertical="center"/>
    </xf>
    <xf numFmtId="0" fontId="0" fillId="0" borderId="0" xfId="0" applyAlignment="1">
      <alignment horizontal="left" vertical="top"/>
    </xf>
    <xf numFmtId="0" fontId="0" fillId="0" borderId="0" xfId="0" applyBorder="1"/>
    <xf numFmtId="0" fontId="2" fillId="0" borderId="0" xfId="0" applyFont="1" applyFill="1" applyBorder="1" applyAlignment="1"/>
    <xf numFmtId="0" fontId="10" fillId="10" borderId="1" xfId="0" applyFont="1" applyFill="1" applyBorder="1" applyAlignment="1" applyProtection="1">
      <alignment horizontal="left" vertical="center"/>
    </xf>
    <xf numFmtId="0" fontId="10" fillId="10" borderId="2" xfId="0" applyFont="1" applyFill="1" applyBorder="1" applyAlignment="1" applyProtection="1">
      <alignment horizontal="left" vertical="center"/>
    </xf>
    <xf numFmtId="0" fontId="11" fillId="19" borderId="0" xfId="0" applyFont="1" applyFill="1" applyProtection="1"/>
    <xf numFmtId="0" fontId="11" fillId="19" borderId="0" xfId="0" applyFont="1" applyFill="1" applyBorder="1" applyProtection="1"/>
    <xf numFmtId="0" fontId="0" fillId="19" borderId="0" xfId="0" applyFill="1" applyProtection="1"/>
    <xf numFmtId="0" fontId="0" fillId="8" borderId="0" xfId="0" applyFill="1"/>
    <xf numFmtId="0" fontId="11" fillId="8" borderId="19" xfId="0" applyNumberFormat="1" applyFont="1" applyFill="1" applyBorder="1" applyProtection="1"/>
    <xf numFmtId="0" fontId="14" fillId="21" borderId="1" xfId="0" applyFont="1" applyFill="1" applyBorder="1" applyAlignment="1">
      <alignment horizontal="center"/>
    </xf>
    <xf numFmtId="0" fontId="0" fillId="0" borderId="1" xfId="0" applyBorder="1" applyAlignment="1">
      <alignment horizontal="center" vertical="top"/>
    </xf>
    <xf numFmtId="0" fontId="0" fillId="0" borderId="1" xfId="0" applyFont="1" applyBorder="1" applyAlignment="1">
      <alignment horizontal="center" vertical="top"/>
    </xf>
    <xf numFmtId="0" fontId="14" fillId="21" borderId="5" xfId="0" applyFont="1" applyFill="1" applyBorder="1" applyAlignment="1">
      <alignment horizontal="center"/>
    </xf>
    <xf numFmtId="0" fontId="14" fillId="21" borderId="1" xfId="0" applyFont="1" applyFill="1" applyBorder="1" applyAlignment="1">
      <alignment wrapText="1"/>
    </xf>
    <xf numFmtId="0" fontId="0" fillId="0" borderId="1" xfId="0" applyBorder="1" applyAlignment="1">
      <alignment horizontal="center" vertical="top" wrapText="1"/>
    </xf>
    <xf numFmtId="0" fontId="14" fillId="15"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1" xfId="0" applyFont="1" applyBorder="1" applyAlignment="1">
      <alignment horizontal="center" vertical="top" wrapText="1"/>
    </xf>
    <xf numFmtId="0" fontId="0" fillId="0" borderId="1" xfId="0" applyFill="1" applyBorder="1" applyAlignment="1">
      <alignment horizontal="center" vertical="top" wrapText="1"/>
    </xf>
    <xf numFmtId="0" fontId="10" fillId="10" borderId="1" xfId="3" applyFont="1" applyFill="1" applyBorder="1" applyAlignment="1" applyProtection="1">
      <alignment horizontal="left" vertical="center"/>
    </xf>
    <xf numFmtId="44" fontId="0" fillId="0" borderId="0" xfId="4" applyFont="1"/>
    <xf numFmtId="0" fontId="0" fillId="8" borderId="0" xfId="0" applyFill="1" applyAlignment="1">
      <alignment horizontal="center"/>
    </xf>
    <xf numFmtId="166" fontId="6" fillId="8" borderId="5" xfId="1" quotePrefix="1" applyNumberFormat="1" applyFont="1" applyFill="1" applyBorder="1" applyAlignment="1" applyProtection="1">
      <alignment horizontal="right" vertical="center"/>
      <protection locked="0"/>
    </xf>
    <xf numFmtId="166" fontId="6" fillId="8" borderId="5" xfId="1" applyNumberFormat="1" applyFont="1" applyFill="1" applyBorder="1" applyAlignment="1" applyProtection="1">
      <alignment horizontal="right" vertical="center"/>
      <protection locked="0"/>
    </xf>
    <xf numFmtId="166" fontId="6" fillId="8" borderId="1" xfId="1" applyNumberFormat="1" applyFont="1" applyFill="1" applyBorder="1" applyAlignment="1" applyProtection="1">
      <alignment horizontal="right" vertical="center"/>
      <protection locked="0"/>
    </xf>
    <xf numFmtId="166" fontId="6" fillId="8" borderId="4" xfId="1" applyNumberFormat="1" applyFont="1" applyFill="1" applyBorder="1" applyAlignment="1" applyProtection="1">
      <alignment vertical="center"/>
      <protection locked="0"/>
    </xf>
    <xf numFmtId="166" fontId="11" fillId="8" borderId="4" xfId="1" applyNumberFormat="1" applyFont="1" applyFill="1" applyBorder="1" applyAlignment="1" applyProtection="1">
      <alignment horizontal="right" vertical="center"/>
      <protection locked="0"/>
    </xf>
    <xf numFmtId="0" fontId="11" fillId="8" borderId="8" xfId="0" applyFont="1" applyFill="1" applyBorder="1" applyAlignment="1" applyProtection="1">
      <alignment wrapText="1"/>
    </xf>
    <xf numFmtId="4" fontId="0" fillId="8" borderId="0" xfId="0" applyNumberFormat="1" applyFill="1"/>
    <xf numFmtId="0" fontId="30" fillId="0" borderId="0" xfId="0" applyFont="1" applyProtection="1"/>
    <xf numFmtId="0" fontId="13" fillId="7" borderId="0" xfId="0" applyFont="1" applyFill="1" applyAlignment="1">
      <alignment horizontal="center" vertical="center"/>
    </xf>
    <xf numFmtId="164" fontId="0" fillId="0" borderId="0" xfId="0" applyNumberFormat="1" applyAlignment="1">
      <alignment horizontal="left" vertical="top" wrapText="1"/>
    </xf>
    <xf numFmtId="164" fontId="0" fillId="0" borderId="0" xfId="0" quotePrefix="1" applyNumberFormat="1" applyAlignment="1">
      <alignment horizontal="left" vertical="top" wrapText="1"/>
    </xf>
    <xf numFmtId="169" fontId="0" fillId="0" borderId="0" xfId="0" applyNumberFormat="1" applyAlignment="1">
      <alignment horizontal="left" vertical="top" wrapText="1"/>
    </xf>
    <xf numFmtId="0" fontId="0" fillId="0" borderId="0" xfId="0" quotePrefix="1" applyAlignment="1">
      <alignment horizontal="left" vertical="top" wrapText="1"/>
    </xf>
    <xf numFmtId="0" fontId="3" fillId="0" borderId="0" xfId="0" applyFont="1" applyAlignment="1">
      <alignment horizontal="left" vertical="top" wrapText="1"/>
    </xf>
    <xf numFmtId="0" fontId="0" fillId="0" borderId="0" xfId="0" applyNumberFormat="1" applyAlignment="1">
      <alignment horizontal="left" vertical="top" wrapText="1"/>
    </xf>
    <xf numFmtId="0" fontId="3" fillId="0" borderId="0" xfId="0" applyNumberFormat="1" applyFont="1" applyAlignment="1">
      <alignment horizontal="left" vertical="top" wrapText="1"/>
    </xf>
    <xf numFmtId="0" fontId="0" fillId="0" borderId="0" xfId="0" applyNumberFormat="1" applyFill="1" applyAlignment="1">
      <alignment horizontal="left" vertical="top" wrapText="1"/>
    </xf>
    <xf numFmtId="0" fontId="0" fillId="0" borderId="0" xfId="0" applyFill="1" applyAlignment="1">
      <alignment horizontal="left" vertical="top" wrapText="1"/>
    </xf>
    <xf numFmtId="164" fontId="0" fillId="0" borderId="0" xfId="0" applyNumberFormat="1" applyFill="1" applyAlignment="1">
      <alignment horizontal="left" vertical="top" wrapText="1"/>
    </xf>
    <xf numFmtId="169" fontId="0" fillId="0" borderId="0" xfId="0" applyNumberFormat="1" applyFill="1" applyAlignment="1">
      <alignment horizontal="left" vertical="top" wrapText="1"/>
    </xf>
    <xf numFmtId="0" fontId="0" fillId="0" borderId="0" xfId="0" quotePrefix="1" applyNumberFormat="1" applyAlignment="1">
      <alignment horizontal="left" vertical="top" wrapText="1"/>
    </xf>
    <xf numFmtId="169" fontId="0" fillId="0" borderId="0" xfId="0" quotePrefix="1" applyNumberFormat="1" applyAlignment="1">
      <alignment horizontal="left" vertical="top" wrapText="1"/>
    </xf>
    <xf numFmtId="0" fontId="0" fillId="5" borderId="0" xfId="0" applyNumberFormat="1" applyFill="1" applyAlignment="1">
      <alignment horizontal="left" vertical="top" wrapText="1"/>
    </xf>
    <xf numFmtId="164" fontId="0" fillId="5" borderId="0" xfId="0" applyNumberFormat="1" applyFill="1" applyAlignment="1">
      <alignment horizontal="left" vertical="top" wrapText="1"/>
    </xf>
    <xf numFmtId="169" fontId="0" fillId="5" borderId="0" xfId="0" applyNumberFormat="1" applyFill="1" applyAlignment="1">
      <alignment horizontal="left" vertical="top" wrapText="1"/>
    </xf>
    <xf numFmtId="0" fontId="0" fillId="5" borderId="0" xfId="0" applyFill="1" applyAlignment="1">
      <alignment horizontal="left" vertical="top" wrapText="1"/>
    </xf>
    <xf numFmtId="0" fontId="3" fillId="5" borderId="0" xfId="0" applyFont="1" applyFill="1" applyAlignment="1">
      <alignment horizontal="left" vertical="top" wrapText="1"/>
    </xf>
    <xf numFmtId="0" fontId="3" fillId="5" borderId="0" xfId="0" applyNumberFormat="1" applyFont="1" applyFill="1" applyAlignment="1">
      <alignment horizontal="left" vertical="top" wrapText="1"/>
    </xf>
    <xf numFmtId="0" fontId="3" fillId="0" borderId="0" xfId="0" quotePrefix="1" applyFont="1" applyAlignment="1">
      <alignment horizontal="left" vertical="top" wrapText="1"/>
    </xf>
    <xf numFmtId="0" fontId="0" fillId="17" borderId="0" xfId="0" quotePrefix="1" applyFill="1" applyAlignment="1">
      <alignment horizontal="left" vertical="top" wrapText="1"/>
    </xf>
    <xf numFmtId="0" fontId="0" fillId="0" borderId="0" xfId="0" applyNumberFormat="1"/>
    <xf numFmtId="0" fontId="0" fillId="22" borderId="0" xfId="0" applyFill="1"/>
    <xf numFmtId="0" fontId="0" fillId="8" borderId="0" xfId="0" applyNumberFormat="1" applyFill="1"/>
    <xf numFmtId="0" fontId="0" fillId="5" borderId="0" xfId="0" quotePrefix="1" applyFill="1" applyAlignment="1">
      <alignment horizontal="left" vertical="top" wrapText="1"/>
    </xf>
    <xf numFmtId="170" fontId="6" fillId="8" borderId="1" xfId="1" applyNumberFormat="1" applyFont="1" applyFill="1" applyBorder="1" applyAlignment="1" applyProtection="1">
      <alignment vertical="center"/>
      <protection locked="0"/>
    </xf>
    <xf numFmtId="0" fontId="11" fillId="0" borderId="0" xfId="0" quotePrefix="1" applyFont="1" applyProtection="1"/>
    <xf numFmtId="0" fontId="23" fillId="0" borderId="0" xfId="0" applyFont="1"/>
    <xf numFmtId="168" fontId="23" fillId="0" borderId="0" xfId="0" applyNumberFormat="1" applyFont="1"/>
    <xf numFmtId="0" fontId="31" fillId="10" borderId="5" xfId="0" applyFont="1" applyFill="1" applyBorder="1" applyAlignment="1">
      <alignment horizontal="center" vertical="center"/>
    </xf>
    <xf numFmtId="0" fontId="31" fillId="10" borderId="11" xfId="0" applyFont="1" applyFill="1" applyBorder="1" applyAlignment="1">
      <alignment horizontal="center" vertical="center"/>
    </xf>
    <xf numFmtId="0" fontId="33" fillId="23" borderId="12" xfId="0" applyFont="1" applyFill="1" applyBorder="1" applyAlignment="1">
      <alignment horizontal="left" vertical="center"/>
    </xf>
    <xf numFmtId="0" fontId="32" fillId="10" borderId="5" xfId="0" applyFont="1" applyFill="1" applyBorder="1" applyAlignment="1">
      <alignment horizontal="center" vertical="center"/>
    </xf>
    <xf numFmtId="171" fontId="36" fillId="24" borderId="1" xfId="0" applyNumberFormat="1" applyFont="1" applyFill="1" applyBorder="1" applyAlignment="1">
      <alignment horizontal="center" vertical="center" wrapText="1"/>
    </xf>
    <xf numFmtId="0" fontId="14" fillId="25" borderId="1" xfId="0" applyFont="1" applyFill="1" applyBorder="1"/>
    <xf numFmtId="0" fontId="0" fillId="0" borderId="0" xfId="0" applyNumberFormat="1" applyAlignment="1">
      <alignment wrapText="1"/>
    </xf>
    <xf numFmtId="0" fontId="0" fillId="14" borderId="0" xfId="0" applyFill="1"/>
    <xf numFmtId="169" fontId="0" fillId="0" borderId="0" xfId="0" applyNumberFormat="1" applyAlignment="1">
      <alignment horizontal="right" wrapText="1"/>
    </xf>
    <xf numFmtId="169" fontId="0" fillId="0" borderId="0" xfId="0" applyNumberFormat="1"/>
    <xf numFmtId="0" fontId="0" fillId="0" borderId="21" xfId="0" applyFont="1" applyBorder="1" applyAlignment="1">
      <alignment horizontal="left" vertical="top"/>
    </xf>
    <xf numFmtId="0" fontId="0" fillId="0" borderId="20" xfId="0" applyFont="1" applyBorder="1" applyAlignment="1">
      <alignment horizontal="left" vertical="top"/>
    </xf>
    <xf numFmtId="0" fontId="0" fillId="0" borderId="0" xfId="0" applyFont="1" applyBorder="1" applyAlignment="1">
      <alignment horizontal="left" vertical="top"/>
    </xf>
    <xf numFmtId="0" fontId="14" fillId="0" borderId="0" xfId="0" applyFont="1" applyAlignment="1">
      <alignment horizontal="right"/>
    </xf>
    <xf numFmtId="0" fontId="23" fillId="8" borderId="0" xfId="0" applyFont="1" applyFill="1"/>
    <xf numFmtId="0" fontId="35" fillId="8" borderId="0" xfId="3" applyFont="1" applyFill="1" applyAlignment="1">
      <alignment vertical="center"/>
    </xf>
    <xf numFmtId="0" fontId="37" fillId="8" borderId="0" xfId="0" applyFont="1" applyFill="1"/>
    <xf numFmtId="0" fontId="12" fillId="8" borderId="0" xfId="0" applyFont="1" applyFill="1" applyAlignment="1">
      <alignment horizontal="left"/>
    </xf>
    <xf numFmtId="0" fontId="12" fillId="8" borderId="0" xfId="0" applyFont="1" applyFill="1"/>
    <xf numFmtId="0" fontId="31" fillId="8" borderId="0" xfId="0" applyFont="1" applyFill="1" applyAlignment="1">
      <alignment horizontal="right"/>
    </xf>
    <xf numFmtId="0" fontId="31" fillId="26" borderId="4" xfId="0" applyFont="1" applyFill="1" applyBorder="1" applyAlignment="1">
      <alignment horizontal="left" indent="2"/>
    </xf>
    <xf numFmtId="0" fontId="31" fillId="26" borderId="10" xfId="0" applyFont="1" applyFill="1" applyBorder="1" applyAlignment="1">
      <alignment horizontal="left" indent="2"/>
    </xf>
    <xf numFmtId="3" fontId="23" fillId="0" borderId="1" xfId="0" applyNumberFormat="1" applyFont="1" applyFill="1" applyBorder="1" applyAlignment="1">
      <alignment horizontal="right" vertical="center" indent="2"/>
    </xf>
    <xf numFmtId="3" fontId="23" fillId="0" borderId="2" xfId="0" applyNumberFormat="1" applyFont="1" applyFill="1" applyBorder="1" applyAlignment="1">
      <alignment horizontal="right" vertical="center" indent="2"/>
    </xf>
    <xf numFmtId="3" fontId="23" fillId="0" borderId="14" xfId="0" applyNumberFormat="1" applyFont="1" applyFill="1" applyBorder="1" applyAlignment="1">
      <alignment horizontal="right" vertical="center" indent="2"/>
    </xf>
    <xf numFmtId="3" fontId="23" fillId="0" borderId="9" xfId="0" applyNumberFormat="1" applyFont="1" applyFill="1" applyBorder="1" applyAlignment="1">
      <alignment horizontal="right" vertical="center" indent="2"/>
    </xf>
    <xf numFmtId="0" fontId="11" fillId="8" borderId="0" xfId="0" applyFont="1" applyFill="1" applyAlignment="1" applyProtection="1"/>
    <xf numFmtId="0" fontId="12" fillId="7" borderId="11"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34" fillId="10" borderId="1" xfId="0" applyFont="1" applyFill="1" applyBorder="1" applyAlignment="1">
      <alignment horizontal="center" vertical="center"/>
    </xf>
    <xf numFmtId="0" fontId="21" fillId="18" borderId="1" xfId="0" applyFont="1" applyFill="1" applyBorder="1" applyAlignment="1">
      <alignment horizontal="center" vertical="center"/>
    </xf>
    <xf numFmtId="0" fontId="2" fillId="2" borderId="0" xfId="0" applyFont="1" applyFill="1" applyBorder="1" applyAlignment="1">
      <alignment horizontal="center"/>
    </xf>
    <xf numFmtId="0" fontId="14" fillId="15" borderId="1" xfId="0" applyFont="1" applyFill="1" applyBorder="1" applyAlignment="1">
      <alignment horizontal="center" vertical="center" wrapText="1"/>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10" xfId="0" applyFont="1" applyBorder="1" applyAlignment="1" applyProtection="1">
      <alignment horizontal="center"/>
    </xf>
    <xf numFmtId="0" fontId="7" fillId="0" borderId="7"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7" fillId="0" borderId="11" xfId="0" applyFont="1" applyBorder="1" applyAlignment="1" applyProtection="1">
      <alignment horizontal="center"/>
    </xf>
    <xf numFmtId="0" fontId="7" fillId="0" borderId="13" xfId="0" applyFont="1" applyBorder="1" applyAlignment="1" applyProtection="1">
      <alignment horizontal="center"/>
    </xf>
    <xf numFmtId="0" fontId="7" fillId="0" borderId="12" xfId="0" applyFont="1" applyBorder="1" applyAlignment="1" applyProtection="1">
      <alignment horizontal="center"/>
    </xf>
    <xf numFmtId="0" fontId="25" fillId="8" borderId="9" xfId="0" applyFont="1" applyFill="1" applyBorder="1" applyAlignment="1">
      <alignment horizontal="center" vertical="center" wrapText="1"/>
    </xf>
    <xf numFmtId="0" fontId="29" fillId="8" borderId="8" xfId="0" applyFont="1" applyFill="1" applyBorder="1" applyAlignment="1">
      <alignment horizontal="center" vertical="center"/>
    </xf>
    <xf numFmtId="0" fontId="29" fillId="8" borderId="10" xfId="0" applyFont="1" applyFill="1" applyBorder="1" applyAlignment="1">
      <alignment horizontal="center" vertical="center"/>
    </xf>
    <xf numFmtId="0" fontId="29" fillId="8" borderId="7" xfId="0" applyFont="1" applyFill="1" applyBorder="1" applyAlignment="1">
      <alignment horizontal="center" vertical="center"/>
    </xf>
    <xf numFmtId="0" fontId="29" fillId="8" borderId="0" xfId="0" applyFont="1" applyFill="1" applyBorder="1" applyAlignment="1">
      <alignment horizontal="center" vertical="center"/>
    </xf>
    <xf numFmtId="0" fontId="29" fillId="8" borderId="6" xfId="0" applyFont="1" applyFill="1" applyBorder="1" applyAlignment="1">
      <alignment horizontal="center" vertical="center"/>
    </xf>
    <xf numFmtId="0" fontId="29" fillId="8" borderId="11" xfId="0" applyFont="1" applyFill="1" applyBorder="1" applyAlignment="1">
      <alignment horizontal="center" vertical="center"/>
    </xf>
    <xf numFmtId="0" fontId="29" fillId="8" borderId="13" xfId="0" applyFont="1" applyFill="1" applyBorder="1" applyAlignment="1">
      <alignment horizontal="center" vertical="center"/>
    </xf>
    <xf numFmtId="0" fontId="29" fillId="8" borderId="12" xfId="0" applyFont="1" applyFill="1" applyBorder="1" applyAlignment="1">
      <alignment horizontal="center" vertical="center"/>
    </xf>
    <xf numFmtId="0" fontId="12" fillId="10" borderId="2" xfId="0" applyFont="1" applyFill="1" applyBorder="1" applyAlignment="1" applyProtection="1">
      <alignment horizontal="center" vertical="center"/>
    </xf>
    <xf numFmtId="0" fontId="12" fillId="10" borderId="3" xfId="0" applyFont="1" applyFill="1" applyBorder="1" applyAlignment="1" applyProtection="1">
      <alignment horizontal="center" vertical="center"/>
    </xf>
    <xf numFmtId="0" fontId="12" fillId="10" borderId="4" xfId="0" applyFont="1" applyFill="1" applyBorder="1" applyAlignment="1" applyProtection="1">
      <alignment horizontal="center" vertical="center"/>
    </xf>
    <xf numFmtId="0" fontId="9" fillId="9" borderId="2" xfId="0" applyFont="1" applyFill="1" applyBorder="1" applyAlignment="1" applyProtection="1">
      <alignment horizontal="left" vertical="center" wrapText="1"/>
    </xf>
    <xf numFmtId="0" fontId="9" fillId="9" borderId="3" xfId="0" applyFont="1" applyFill="1" applyBorder="1" applyAlignment="1" applyProtection="1">
      <alignment horizontal="left" vertical="center" wrapText="1"/>
    </xf>
    <xf numFmtId="0" fontId="9" fillId="9" borderId="4" xfId="0" applyFont="1" applyFill="1" applyBorder="1" applyAlignment="1" applyProtection="1">
      <alignment horizontal="left" vertical="center" wrapText="1"/>
    </xf>
    <xf numFmtId="0" fontId="12" fillId="10" borderId="2" xfId="0" applyFont="1" applyFill="1" applyBorder="1" applyAlignment="1" applyProtection="1">
      <alignment horizontal="left" vertical="center"/>
    </xf>
    <xf numFmtId="0" fontId="12" fillId="10" borderId="4" xfId="0" applyFont="1" applyFill="1" applyBorder="1" applyAlignment="1" applyProtection="1">
      <alignment horizontal="left" vertical="center"/>
    </xf>
    <xf numFmtId="0" fontId="10" fillId="10" borderId="2" xfId="3" applyFont="1" applyFill="1" applyBorder="1" applyAlignment="1" applyProtection="1">
      <alignment horizontal="left" vertical="center"/>
    </xf>
    <xf numFmtId="0" fontId="10" fillId="10" borderId="4" xfId="0" applyFont="1" applyFill="1" applyBorder="1" applyAlignment="1" applyProtection="1">
      <alignment horizontal="left" vertical="center"/>
    </xf>
    <xf numFmtId="167" fontId="11" fillId="8" borderId="1" xfId="0" applyNumberFormat="1" applyFont="1" applyFill="1" applyBorder="1" applyAlignment="1" applyProtection="1">
      <alignment horizontal="left" vertical="center"/>
      <protection locked="0"/>
    </xf>
    <xf numFmtId="0" fontId="11" fillId="8" borderId="1" xfId="0" applyFont="1" applyFill="1" applyBorder="1" applyAlignment="1" applyProtection="1">
      <alignment horizontal="left" vertical="center"/>
      <protection locked="0"/>
    </xf>
    <xf numFmtId="166" fontId="6" fillId="8" borderId="2" xfId="0" applyNumberFormat="1" applyFont="1" applyFill="1" applyBorder="1" applyAlignment="1" applyProtection="1">
      <alignment horizontal="right" vertical="center"/>
      <protection locked="0"/>
    </xf>
    <xf numFmtId="166" fontId="6" fillId="8" borderId="4" xfId="0" applyNumberFormat="1" applyFont="1" applyFill="1" applyBorder="1" applyAlignment="1" applyProtection="1">
      <alignment horizontal="right" vertical="center"/>
      <protection locked="0"/>
    </xf>
    <xf numFmtId="0" fontId="12" fillId="10" borderId="9" xfId="0" applyFont="1" applyFill="1" applyBorder="1" applyAlignment="1" applyProtection="1">
      <alignment horizontal="center" vertical="center" wrapText="1"/>
    </xf>
    <xf numFmtId="0" fontId="12" fillId="10" borderId="10" xfId="0" applyFont="1" applyFill="1" applyBorder="1" applyAlignment="1" applyProtection="1">
      <alignment horizontal="center" vertical="center" wrapText="1"/>
    </xf>
    <xf numFmtId="0" fontId="12" fillId="10" borderId="11" xfId="0" applyFont="1" applyFill="1" applyBorder="1" applyAlignment="1" applyProtection="1">
      <alignment horizontal="center" vertical="center" wrapText="1"/>
    </xf>
    <xf numFmtId="0" fontId="12" fillId="10" borderId="12" xfId="0" applyFont="1" applyFill="1" applyBorder="1" applyAlignment="1" applyProtection="1">
      <alignment horizontal="center" vertical="center" wrapText="1"/>
    </xf>
    <xf numFmtId="166" fontId="6" fillId="7" borderId="2" xfId="0" applyNumberFormat="1" applyFont="1" applyFill="1" applyBorder="1" applyAlignment="1" applyProtection="1">
      <alignment horizontal="right" vertical="center"/>
    </xf>
    <xf numFmtId="166" fontId="6" fillId="7" borderId="4" xfId="0" applyNumberFormat="1" applyFont="1" applyFill="1" applyBorder="1" applyAlignment="1" applyProtection="1">
      <alignment horizontal="right" vertical="center"/>
    </xf>
    <xf numFmtId="0" fontId="12" fillId="10" borderId="2" xfId="0" applyFont="1" applyFill="1" applyBorder="1" applyAlignment="1" applyProtection="1">
      <alignment horizontal="center" vertical="center" wrapText="1"/>
    </xf>
    <xf numFmtId="0" fontId="12" fillId="10" borderId="3" xfId="0" applyFont="1" applyFill="1" applyBorder="1" applyAlignment="1" applyProtection="1">
      <alignment horizontal="center" vertical="center" wrapText="1"/>
    </xf>
    <xf numFmtId="0" fontId="12" fillId="10" borderId="4" xfId="0" applyFont="1" applyFill="1" applyBorder="1" applyAlignment="1" applyProtection="1">
      <alignment horizontal="center" vertical="center" wrapText="1"/>
    </xf>
    <xf numFmtId="14" fontId="6" fillId="8" borderId="2" xfId="0" applyNumberFormat="1" applyFont="1" applyFill="1" applyBorder="1" applyAlignment="1" applyProtection="1">
      <alignment horizontal="center" vertical="center"/>
      <protection locked="0"/>
    </xf>
    <xf numFmtId="14" fontId="6" fillId="8" borderId="4" xfId="0" applyNumberFormat="1" applyFont="1" applyFill="1" applyBorder="1" applyAlignment="1" applyProtection="1">
      <alignment horizontal="center" vertical="center"/>
      <protection locked="0"/>
    </xf>
    <xf numFmtId="0" fontId="23" fillId="7" borderId="1" xfId="0" quotePrefix="1" applyFont="1" applyFill="1" applyBorder="1" applyAlignment="1" applyProtection="1">
      <alignment horizontal="left" vertical="center" wrapText="1" indent="1"/>
    </xf>
    <xf numFmtId="0" fontId="22" fillId="9" borderId="1" xfId="0" applyFont="1" applyFill="1" applyBorder="1" applyAlignment="1" applyProtection="1">
      <alignment horizontal="center" vertical="center"/>
    </xf>
    <xf numFmtId="0" fontId="38" fillId="0" borderId="9" xfId="0" applyFont="1" applyBorder="1" applyAlignment="1" applyProtection="1">
      <alignment horizontal="center"/>
    </xf>
    <xf numFmtId="0" fontId="38" fillId="0" borderId="8" xfId="0" applyFont="1" applyBorder="1" applyAlignment="1" applyProtection="1">
      <alignment horizontal="center"/>
    </xf>
    <xf numFmtId="0" fontId="38" fillId="0" borderId="7" xfId="0" applyFont="1" applyBorder="1" applyAlignment="1" applyProtection="1">
      <alignment horizontal="center"/>
    </xf>
    <xf numFmtId="0" fontId="38" fillId="0" borderId="0" xfId="0" applyFont="1" applyBorder="1" applyAlignment="1" applyProtection="1">
      <alignment horizontal="center"/>
    </xf>
    <xf numFmtId="0" fontId="38" fillId="0" borderId="11" xfId="0" applyFont="1" applyBorder="1" applyAlignment="1" applyProtection="1">
      <alignment horizontal="center"/>
    </xf>
    <xf numFmtId="0" fontId="38" fillId="0" borderId="13" xfId="0" applyFont="1" applyBorder="1" applyAlignment="1" applyProtection="1">
      <alignment horizontal="center"/>
    </xf>
    <xf numFmtId="0" fontId="25" fillId="0" borderId="1" xfId="0" applyFont="1" applyBorder="1" applyAlignment="1" applyProtection="1">
      <alignment horizontal="left" vertical="center" wrapText="1"/>
    </xf>
    <xf numFmtId="0" fontId="12" fillId="5" borderId="1" xfId="0" quotePrefix="1" applyFont="1" applyFill="1" applyBorder="1" applyAlignment="1" applyProtection="1">
      <alignment horizontal="left" vertical="center" wrapText="1" indent="1"/>
    </xf>
    <xf numFmtId="0" fontId="12" fillId="5" borderId="1" xfId="0" applyFont="1" applyFill="1" applyBorder="1" applyAlignment="1" applyProtection="1">
      <alignment horizontal="left" vertical="center" wrapText="1" indent="1"/>
    </xf>
    <xf numFmtId="0" fontId="9" fillId="9" borderId="2" xfId="0" applyFont="1" applyFill="1" applyBorder="1" applyAlignment="1" applyProtection="1">
      <alignment horizontal="center" vertical="center"/>
    </xf>
    <xf numFmtId="0" fontId="9" fillId="9" borderId="3" xfId="0" applyFont="1" applyFill="1" applyBorder="1" applyAlignment="1" applyProtection="1">
      <alignment horizontal="center" vertical="center"/>
    </xf>
    <xf numFmtId="0" fontId="9" fillId="9" borderId="4" xfId="0" applyFont="1" applyFill="1" applyBorder="1" applyAlignment="1" applyProtection="1">
      <alignment horizontal="center" vertical="center"/>
    </xf>
    <xf numFmtId="0" fontId="9" fillId="9" borderId="1" xfId="0" applyFont="1" applyFill="1" applyBorder="1" applyAlignment="1" applyProtection="1">
      <alignment horizontal="left" vertical="center" wrapText="1"/>
    </xf>
    <xf numFmtId="0" fontId="6" fillId="8" borderId="2" xfId="0" applyFont="1" applyFill="1" applyBorder="1" applyAlignment="1" applyProtection="1">
      <alignment horizontal="left" vertical="center" wrapText="1"/>
      <protection locked="0"/>
    </xf>
    <xf numFmtId="0" fontId="6" fillId="8" borderId="4" xfId="0" applyFont="1" applyFill="1" applyBorder="1" applyAlignment="1" applyProtection="1">
      <alignment horizontal="left" vertical="center" wrapText="1"/>
      <protection locked="0"/>
    </xf>
    <xf numFmtId="0" fontId="6" fillId="8" borderId="9" xfId="0" applyFont="1" applyFill="1" applyBorder="1" applyAlignment="1" applyProtection="1">
      <alignment horizontal="left" vertical="center" wrapText="1"/>
      <protection locked="0"/>
    </xf>
    <xf numFmtId="0" fontId="6" fillId="8" borderId="8"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0" fontId="6" fillId="8" borderId="13"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6" fillId="8" borderId="2" xfId="0" applyFont="1" applyFill="1" applyBorder="1" applyAlignment="1" applyProtection="1">
      <alignment horizontal="left" vertical="center"/>
      <protection locked="0"/>
    </xf>
    <xf numFmtId="0" fontId="6" fillId="8" borderId="3" xfId="0" applyFont="1" applyFill="1" applyBorder="1" applyAlignment="1" applyProtection="1">
      <alignment horizontal="left" vertical="center"/>
      <protection locked="0"/>
    </xf>
    <xf numFmtId="0" fontId="6" fillId="8" borderId="4" xfId="0" applyFont="1" applyFill="1" applyBorder="1" applyAlignment="1" applyProtection="1">
      <alignment horizontal="left" vertical="center"/>
      <protection locked="0"/>
    </xf>
    <xf numFmtId="14" fontId="11" fillId="8" borderId="2" xfId="0" applyNumberFormat="1" applyFont="1" applyFill="1" applyBorder="1" applyAlignment="1" applyProtection="1">
      <alignment horizontal="left" vertical="center" wrapText="1"/>
      <protection locked="0"/>
    </xf>
    <xf numFmtId="14" fontId="11" fillId="8" borderId="3" xfId="0" applyNumberFormat="1" applyFont="1" applyFill="1" applyBorder="1" applyAlignment="1" applyProtection="1">
      <alignment horizontal="left" vertical="center" wrapText="1"/>
      <protection locked="0"/>
    </xf>
    <xf numFmtId="14" fontId="11" fillId="8" borderId="4" xfId="0" applyNumberFormat="1"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wrapText="1"/>
      <protection locked="0"/>
    </xf>
    <xf numFmtId="0" fontId="11" fillId="8" borderId="3" xfId="0" applyFont="1" applyFill="1" applyBorder="1" applyAlignment="1" applyProtection="1">
      <alignment horizontal="left" vertical="center" wrapText="1"/>
      <protection locked="0"/>
    </xf>
    <xf numFmtId="0" fontId="11" fillId="8" borderId="4" xfId="0"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protection locked="0"/>
    </xf>
    <xf numFmtId="0" fontId="11" fillId="8" borderId="3" xfId="0" applyFont="1" applyFill="1" applyBorder="1" applyAlignment="1" applyProtection="1">
      <alignment horizontal="left" vertical="center"/>
      <protection locked="0"/>
    </xf>
    <xf numFmtId="0" fontId="11" fillId="8" borderId="4" xfId="0" applyFont="1" applyFill="1" applyBorder="1" applyAlignment="1" applyProtection="1">
      <alignment horizontal="left" vertical="center"/>
      <protection locked="0"/>
    </xf>
    <xf numFmtId="0" fontId="6" fillId="8" borderId="2" xfId="0" applyFont="1" applyFill="1" applyBorder="1" applyAlignment="1" applyProtection="1">
      <alignment horizontal="center" vertical="center"/>
      <protection locked="0"/>
    </xf>
    <xf numFmtId="0" fontId="6" fillId="8" borderId="3"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9" fillId="9" borderId="1" xfId="0" applyFont="1" applyFill="1" applyBorder="1" applyAlignment="1" applyProtection="1">
      <alignment horizontal="center" vertical="center" textRotation="90" wrapText="1"/>
    </xf>
    <xf numFmtId="0" fontId="6" fillId="8" borderId="3" xfId="0" applyFont="1" applyFill="1" applyBorder="1" applyAlignment="1" applyProtection="1">
      <alignment horizontal="left" vertical="center" wrapText="1"/>
      <protection locked="0"/>
    </xf>
    <xf numFmtId="0" fontId="11" fillId="8" borderId="1" xfId="0" applyFont="1" applyFill="1" applyBorder="1" applyAlignment="1" applyProtection="1">
      <alignment horizontal="center" vertical="center" wrapText="1"/>
      <protection locked="0"/>
    </xf>
    <xf numFmtId="166" fontId="11" fillId="8" borderId="1" xfId="0" applyNumberFormat="1" applyFont="1" applyFill="1" applyBorder="1" applyAlignment="1" applyProtection="1">
      <alignment horizontal="left" vertical="center" wrapText="1"/>
      <protection locked="0"/>
    </xf>
    <xf numFmtId="0" fontId="11" fillId="8" borderId="9" xfId="0" applyFont="1" applyFill="1" applyBorder="1" applyAlignment="1" applyProtection="1">
      <alignment horizontal="center" vertical="center" wrapText="1"/>
      <protection locked="0"/>
    </xf>
    <xf numFmtId="0" fontId="11" fillId="8" borderId="8"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left" vertical="center"/>
    </xf>
    <xf numFmtId="0" fontId="9" fillId="9" borderId="3" xfId="0" applyFont="1" applyFill="1" applyBorder="1" applyAlignment="1" applyProtection="1">
      <alignment horizontal="left" vertical="center"/>
    </xf>
    <xf numFmtId="0" fontId="9" fillId="9" borderId="4" xfId="0" applyFont="1" applyFill="1" applyBorder="1" applyAlignment="1" applyProtection="1">
      <alignment horizontal="left" vertical="center"/>
    </xf>
    <xf numFmtId="0" fontId="12" fillId="10" borderId="8"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textRotation="90" wrapText="1"/>
    </xf>
    <xf numFmtId="0" fontId="9" fillId="9" borderId="15" xfId="0" applyFont="1" applyFill="1" applyBorder="1" applyAlignment="1" applyProtection="1">
      <alignment horizontal="center" vertical="center" textRotation="90" wrapText="1"/>
    </xf>
    <xf numFmtId="0" fontId="9" fillId="9" borderId="5" xfId="0" applyFont="1" applyFill="1" applyBorder="1" applyAlignment="1" applyProtection="1">
      <alignment horizontal="center" vertical="center" textRotation="90" wrapText="1"/>
    </xf>
    <xf numFmtId="168" fontId="6" fillId="8" borderId="2" xfId="0" applyNumberFormat="1" applyFont="1" applyFill="1" applyBorder="1" applyAlignment="1" applyProtection="1">
      <alignment horizontal="left" vertical="center" wrapText="1"/>
      <protection locked="0"/>
    </xf>
    <xf numFmtId="168" fontId="6" fillId="8" borderId="4" xfId="0" applyNumberFormat="1" applyFont="1" applyFill="1" applyBorder="1" applyAlignment="1" applyProtection="1">
      <alignment horizontal="left" vertical="center" wrapText="1"/>
      <protection locked="0"/>
    </xf>
    <xf numFmtId="0" fontId="10" fillId="10" borderId="1" xfId="0" applyFont="1" applyFill="1" applyBorder="1" applyAlignment="1" applyProtection="1">
      <alignment horizontal="left" vertical="center" wrapText="1"/>
    </xf>
    <xf numFmtId="0" fontId="6" fillId="0" borderId="2"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7" fontId="6" fillId="8" borderId="2" xfId="0" applyNumberFormat="1" applyFont="1" applyFill="1" applyBorder="1" applyAlignment="1" applyProtection="1">
      <alignment horizontal="left" vertical="center" wrapText="1"/>
      <protection locked="0"/>
    </xf>
    <xf numFmtId="167" fontId="6" fillId="8" borderId="4" xfId="0" applyNumberFormat="1" applyFont="1" applyFill="1" applyBorder="1" applyAlignment="1" applyProtection="1">
      <alignment horizontal="left" vertical="center" wrapText="1"/>
      <protection locked="0"/>
    </xf>
    <xf numFmtId="14" fontId="6" fillId="8" borderId="2" xfId="0" applyNumberFormat="1" applyFont="1" applyFill="1" applyBorder="1" applyAlignment="1" applyProtection="1">
      <alignment horizontal="left" vertical="center" wrapText="1"/>
      <protection locked="0"/>
    </xf>
    <xf numFmtId="14" fontId="6" fillId="8" borderId="4" xfId="0" applyNumberFormat="1" applyFont="1" applyFill="1" applyBorder="1" applyAlignment="1" applyProtection="1">
      <alignment horizontal="left" vertical="center" wrapText="1"/>
      <protection locked="0"/>
    </xf>
    <xf numFmtId="4" fontId="11" fillId="0" borderId="16" xfId="0" applyNumberFormat="1" applyFont="1" applyBorder="1" applyAlignment="1" applyProtection="1">
      <alignment horizontal="center" vertical="center"/>
    </xf>
    <xf numFmtId="4" fontId="11" fillId="0" borderId="17" xfId="0" applyNumberFormat="1" applyFont="1" applyBorder="1" applyAlignment="1" applyProtection="1">
      <alignment horizontal="center" vertical="center"/>
    </xf>
    <xf numFmtId="4" fontId="11" fillId="0" borderId="11" xfId="0" applyNumberFormat="1" applyFont="1" applyBorder="1" applyAlignment="1" applyProtection="1">
      <alignment horizontal="center" vertical="center"/>
    </xf>
    <xf numFmtId="4" fontId="11" fillId="0" borderId="12" xfId="0" applyNumberFormat="1" applyFont="1" applyBorder="1" applyAlignment="1" applyProtection="1">
      <alignment horizontal="center" vertical="center"/>
    </xf>
    <xf numFmtId="0" fontId="12" fillId="7" borderId="11" xfId="0" applyFont="1" applyFill="1" applyBorder="1" applyAlignment="1" applyProtection="1">
      <alignment horizontal="center" vertical="center" wrapText="1"/>
    </xf>
    <xf numFmtId="0" fontId="12" fillId="7" borderId="12" xfId="0" applyFont="1" applyFill="1" applyBorder="1" applyAlignment="1" applyProtection="1">
      <alignment horizontal="center" vertical="center" wrapText="1"/>
    </xf>
    <xf numFmtId="0" fontId="12" fillId="7" borderId="14"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12" fillId="7" borderId="2" xfId="0" applyFont="1" applyFill="1" applyBorder="1" applyAlignment="1" applyProtection="1">
      <alignment horizontal="right"/>
    </xf>
    <xf numFmtId="0" fontId="12" fillId="7" borderId="3" xfId="0" applyFont="1" applyFill="1" applyBorder="1" applyAlignment="1" applyProtection="1">
      <alignment horizontal="right"/>
    </xf>
    <xf numFmtId="0" fontId="12" fillId="7" borderId="4" xfId="0" applyFont="1" applyFill="1" applyBorder="1" applyAlignment="1" applyProtection="1">
      <alignment horizontal="right"/>
    </xf>
    <xf numFmtId="0" fontId="11" fillId="8" borderId="1" xfId="0" applyFont="1" applyFill="1" applyBorder="1" applyAlignment="1" applyProtection="1">
      <alignment horizontal="center" vertical="center"/>
    </xf>
    <xf numFmtId="165" fontId="11" fillId="8" borderId="1" xfId="0"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right" vertical="center"/>
    </xf>
    <xf numFmtId="0" fontId="12" fillId="7" borderId="3" xfId="0" applyFont="1" applyFill="1" applyBorder="1" applyAlignment="1" applyProtection="1">
      <alignment horizontal="right" vertical="center"/>
    </xf>
    <xf numFmtId="0" fontId="12" fillId="7" borderId="4" xfId="0" applyFont="1" applyFill="1" applyBorder="1" applyAlignment="1" applyProtection="1">
      <alignment horizontal="right" vertical="center"/>
    </xf>
    <xf numFmtId="0" fontId="5" fillId="9" borderId="1" xfId="0" applyFont="1" applyFill="1" applyBorder="1" applyAlignment="1" applyProtection="1">
      <alignment horizontal="center" vertical="center" wrapText="1"/>
    </xf>
    <xf numFmtId="0" fontId="19" fillId="6" borderId="9" xfId="0" applyFont="1" applyFill="1" applyBorder="1" applyAlignment="1" applyProtection="1">
      <alignment horizontal="left" vertical="center" wrapText="1" indent="1"/>
    </xf>
    <xf numFmtId="0" fontId="19" fillId="6" borderId="8" xfId="0" applyFont="1" applyFill="1" applyBorder="1" applyAlignment="1" applyProtection="1">
      <alignment horizontal="left" vertical="center" wrapText="1" indent="1"/>
    </xf>
    <xf numFmtId="0" fontId="19" fillId="6" borderId="10" xfId="0" applyFont="1" applyFill="1" applyBorder="1" applyAlignment="1" applyProtection="1">
      <alignment horizontal="left" vertical="center" wrapText="1" indent="1"/>
    </xf>
    <xf numFmtId="0" fontId="19" fillId="6" borderId="11" xfId="0" applyFont="1" applyFill="1" applyBorder="1" applyAlignment="1" applyProtection="1">
      <alignment horizontal="left" vertical="center" wrapText="1" indent="1"/>
    </xf>
    <xf numFmtId="0" fontId="19" fillId="6" borderId="13" xfId="0" applyFont="1" applyFill="1" applyBorder="1" applyAlignment="1" applyProtection="1">
      <alignment horizontal="left" vertical="center" wrapText="1" indent="1"/>
    </xf>
    <xf numFmtId="0" fontId="19" fillId="6" borderId="12" xfId="0" applyFont="1" applyFill="1" applyBorder="1" applyAlignment="1" applyProtection="1">
      <alignment horizontal="left" vertical="center" wrapText="1" indent="1"/>
    </xf>
    <xf numFmtId="0" fontId="18" fillId="5" borderId="9" xfId="0" applyFont="1" applyFill="1" applyBorder="1" applyAlignment="1" applyProtection="1">
      <alignment horizontal="left" vertical="center" wrapText="1" indent="1"/>
    </xf>
    <xf numFmtId="0" fontId="18" fillId="5" borderId="8" xfId="0" applyFont="1" applyFill="1" applyBorder="1" applyAlignment="1" applyProtection="1">
      <alignment horizontal="left" vertical="center" wrapText="1" indent="1"/>
    </xf>
    <xf numFmtId="0" fontId="18" fillId="5" borderId="10" xfId="0" applyFont="1" applyFill="1" applyBorder="1" applyAlignment="1" applyProtection="1">
      <alignment horizontal="left" vertical="center" wrapText="1" indent="1"/>
    </xf>
    <xf numFmtId="0" fontId="18" fillId="5" borderId="11" xfId="0" applyFont="1" applyFill="1" applyBorder="1" applyAlignment="1" applyProtection="1">
      <alignment horizontal="left" vertical="center" wrapText="1" indent="1"/>
    </xf>
    <xf numFmtId="0" fontId="18" fillId="5" borderId="13" xfId="0" applyFont="1" applyFill="1" applyBorder="1" applyAlignment="1" applyProtection="1">
      <alignment horizontal="left" vertical="center" wrapText="1" indent="1"/>
    </xf>
    <xf numFmtId="0" fontId="18" fillId="5" borderId="12" xfId="0" applyFont="1" applyFill="1" applyBorder="1" applyAlignment="1" applyProtection="1">
      <alignment horizontal="left" vertical="center" wrapText="1" indent="1"/>
    </xf>
    <xf numFmtId="166" fontId="11" fillId="7" borderId="1" xfId="0" applyNumberFormat="1" applyFont="1" applyFill="1" applyBorder="1" applyAlignment="1" applyProtection="1">
      <alignment horizontal="right" vertical="center"/>
    </xf>
    <xf numFmtId="166" fontId="11" fillId="8" borderId="1" xfId="0" applyNumberFormat="1" applyFont="1" applyFill="1" applyBorder="1" applyAlignment="1" applyProtection="1">
      <alignment horizontal="right" vertical="center"/>
    </xf>
    <xf numFmtId="166" fontId="11" fillId="8" borderId="1" xfId="0" applyNumberFormat="1" applyFont="1" applyFill="1" applyBorder="1" applyAlignment="1" applyProtection="1">
      <alignment horizontal="right" vertical="center"/>
      <protection locked="0"/>
    </xf>
    <xf numFmtId="0" fontId="11" fillId="8" borderId="2" xfId="0" applyFont="1" applyFill="1" applyBorder="1" applyAlignment="1" applyProtection="1">
      <alignment horizontal="left" vertical="center" indent="1"/>
    </xf>
    <xf numFmtId="0" fontId="11" fillId="8" borderId="3" xfId="0" applyFont="1" applyFill="1" applyBorder="1" applyAlignment="1" applyProtection="1">
      <alignment horizontal="left" vertical="center" indent="1"/>
    </xf>
    <xf numFmtId="0" fontId="11" fillId="8" borderId="4" xfId="0" applyFont="1" applyFill="1" applyBorder="1" applyAlignment="1" applyProtection="1">
      <alignment horizontal="left" vertical="center" indent="1"/>
    </xf>
    <xf numFmtId="0" fontId="12" fillId="7" borderId="2" xfId="0"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xf>
    <xf numFmtId="0" fontId="9" fillId="9" borderId="1" xfId="0" applyFont="1" applyFill="1" applyBorder="1" applyAlignment="1" applyProtection="1">
      <alignment horizontal="left" vertical="center"/>
    </xf>
    <xf numFmtId="0" fontId="10" fillId="7" borderId="1" xfId="0" applyFont="1" applyFill="1" applyBorder="1" applyAlignment="1" applyProtection="1">
      <alignment horizontal="left" vertical="center"/>
    </xf>
    <xf numFmtId="0" fontId="15" fillId="0" borderId="1" xfId="0" applyFont="1" applyFill="1" applyBorder="1" applyAlignment="1" applyProtection="1">
      <alignment horizontal="left" vertical="center" indent="2"/>
    </xf>
    <xf numFmtId="0" fontId="8" fillId="7" borderId="1" xfId="0" applyFont="1" applyFill="1" applyBorder="1" applyAlignment="1" applyProtection="1">
      <alignment horizontal="center" vertical="center"/>
    </xf>
    <xf numFmtId="0" fontId="20" fillId="8" borderId="1" xfId="0" quotePrefix="1"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10" fillId="20" borderId="1" xfId="0" applyFont="1" applyFill="1" applyBorder="1" applyAlignment="1" applyProtection="1">
      <alignment horizontal="left" vertical="center"/>
    </xf>
    <xf numFmtId="0" fontId="6" fillId="8" borderId="1" xfId="1" applyNumberFormat="1" applyFont="1" applyFill="1" applyBorder="1" applyAlignment="1" applyProtection="1">
      <alignment horizontal="center" vertical="center" wrapText="1"/>
      <protection locked="0"/>
    </xf>
    <xf numFmtId="14" fontId="11" fillId="8" borderId="1" xfId="0" applyNumberFormat="1" applyFont="1" applyFill="1" applyBorder="1" applyAlignment="1" applyProtection="1">
      <alignment horizontal="center" vertical="center"/>
      <protection locked="0"/>
    </xf>
    <xf numFmtId="0" fontId="11" fillId="8" borderId="7" xfId="0" applyFont="1" applyFill="1" applyBorder="1" applyAlignment="1" applyProtection="1">
      <alignment horizontal="center" vertical="center" wrapText="1"/>
      <protection locked="0"/>
    </xf>
    <xf numFmtId="0" fontId="11" fillId="8" borderId="0"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xf>
    <xf numFmtId="0" fontId="11" fillId="8" borderId="8" xfId="0" applyFont="1" applyFill="1" applyBorder="1" applyAlignment="1" applyProtection="1">
      <alignment horizontal="center" vertical="center" wrapText="1"/>
    </xf>
    <xf numFmtId="0" fontId="11" fillId="8" borderId="10" xfId="0" applyFont="1" applyFill="1" applyBorder="1" applyAlignment="1" applyProtection="1">
      <alignment horizontal="center" vertical="center" wrapText="1"/>
    </xf>
    <xf numFmtId="0" fontId="11" fillId="8" borderId="7"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6"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11" fillId="8" borderId="12"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xf>
    <xf numFmtId="0" fontId="0" fillId="8" borderId="1" xfId="0" applyFill="1" applyBorder="1" applyAlignment="1" applyProtection="1">
      <alignment horizontal="center" vertical="center" wrapText="1"/>
    </xf>
    <xf numFmtId="0" fontId="9" fillId="9" borderId="7" xfId="0" applyFont="1" applyFill="1" applyBorder="1" applyAlignment="1" applyProtection="1">
      <alignment horizontal="left" vertical="center"/>
    </xf>
    <xf numFmtId="0" fontId="9" fillId="9" borderId="0" xfId="0" applyFont="1" applyFill="1" applyBorder="1" applyAlignment="1" applyProtection="1">
      <alignment horizontal="left" vertical="center"/>
    </xf>
    <xf numFmtId="0" fontId="9" fillId="9" borderId="6" xfId="0" applyFont="1" applyFill="1" applyBorder="1" applyAlignment="1" applyProtection="1">
      <alignment horizontal="left" vertical="center"/>
    </xf>
    <xf numFmtId="0" fontId="9" fillId="9" borderId="8" xfId="0" applyFont="1" applyFill="1" applyBorder="1" applyAlignment="1" applyProtection="1">
      <alignment horizontal="left" vertical="center"/>
    </xf>
    <xf numFmtId="0" fontId="9" fillId="9" borderId="10" xfId="0" applyFont="1" applyFill="1" applyBorder="1" applyAlignment="1" applyProtection="1">
      <alignment horizontal="left" vertical="center"/>
    </xf>
    <xf numFmtId="0" fontId="12" fillId="10" borderId="14" xfId="0" applyFont="1" applyFill="1" applyBorder="1" applyAlignment="1" applyProtection="1">
      <alignment horizontal="center" vertical="center" wrapText="1"/>
    </xf>
    <xf numFmtId="0" fontId="12" fillId="10" borderId="5" xfId="0" applyFont="1" applyFill="1" applyBorder="1" applyAlignment="1" applyProtection="1">
      <alignment horizontal="center" vertical="center" wrapText="1"/>
    </xf>
    <xf numFmtId="0" fontId="8" fillId="10" borderId="14"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34" fillId="10" borderId="1" xfId="0" applyFont="1" applyFill="1" applyBorder="1" applyAlignment="1">
      <alignment horizontal="center" vertical="center"/>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33" fillId="9" borderId="2" xfId="0" applyFont="1" applyFill="1" applyBorder="1" applyAlignment="1">
      <alignment horizontal="center"/>
    </xf>
    <xf numFmtId="0" fontId="33" fillId="9" borderId="3" xfId="0" applyFont="1" applyFill="1" applyBorder="1" applyAlignment="1">
      <alignment horizontal="center"/>
    </xf>
    <xf numFmtId="0" fontId="33" fillId="9" borderId="4" xfId="0" applyFont="1" applyFill="1" applyBorder="1" applyAlignment="1">
      <alignment horizontal="center"/>
    </xf>
    <xf numFmtId="0" fontId="33" fillId="9" borderId="14" xfId="0" applyFont="1" applyFill="1" applyBorder="1" applyAlignment="1">
      <alignment horizontal="center" vertical="center" wrapText="1"/>
    </xf>
    <xf numFmtId="0" fontId="33" fillId="9" borderId="5" xfId="0" applyFont="1" applyFill="1" applyBorder="1" applyAlignment="1">
      <alignment horizontal="center" vertical="center" wrapText="1"/>
    </xf>
    <xf numFmtId="0" fontId="19" fillId="0" borderId="2"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quotePrefix="1" applyBorder="1" applyAlignment="1">
      <alignment horizontal="center" wrapText="1"/>
    </xf>
    <xf numFmtId="0" fontId="4" fillId="9" borderId="2" xfId="0" applyFont="1" applyFill="1" applyBorder="1" applyAlignment="1">
      <alignment horizont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14" fillId="0" borderId="1" xfId="0" applyFont="1" applyBorder="1" applyAlignment="1">
      <alignment horizontal="center" vertical="center" wrapText="1"/>
    </xf>
    <xf numFmtId="0" fontId="21" fillId="18" borderId="1" xfId="0" applyFont="1" applyFill="1" applyBorder="1" applyAlignment="1">
      <alignment horizontal="center" vertical="center"/>
    </xf>
    <xf numFmtId="0" fontId="2" fillId="2" borderId="7" xfId="0" applyFont="1" applyFill="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6" xfId="0" applyFont="1" applyFill="1" applyBorder="1" applyAlignment="1">
      <alignment horizontal="center"/>
    </xf>
    <xf numFmtId="0" fontId="14" fillId="15" borderId="1" xfId="0" applyFont="1" applyFill="1" applyBorder="1" applyAlignment="1">
      <alignment horizontal="center" vertical="center" wrapText="1"/>
    </xf>
    <xf numFmtId="0" fontId="0" fillId="0" borderId="1" xfId="0" applyBorder="1" applyAlignment="1">
      <alignment horizontal="left" vertical="center" wrapText="1" indent="1"/>
    </xf>
  </cellXfs>
  <cellStyles count="5">
    <cellStyle name="Comma" xfId="1" builtinId="3"/>
    <cellStyle name="Currency" xfId="4" builtinId="4"/>
    <cellStyle name="Hyperlink" xfId="3" builtinId="8"/>
    <cellStyle name="Normal" xfId="0" builtinId="0"/>
    <cellStyle name="Percent" xfId="2" builtinId="5"/>
  </cellStyles>
  <dxfs count="167">
    <dxf>
      <fill>
        <patternFill>
          <bgColor rgb="FF92D050"/>
        </patternFill>
      </fill>
    </dxf>
    <dxf>
      <numFmt numFmtId="0" formatCode="General"/>
    </dxf>
    <dxf>
      <numFmt numFmtId="0" formatCode="General"/>
    </dxf>
    <dxf>
      <numFmt numFmtId="169" formatCode="00"/>
    </dxf>
    <dxf>
      <numFmt numFmtId="0" formatCode="General"/>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69" formatCode="00"/>
      <alignment horizontal="right"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fill>
        <patternFill patternType="solid">
          <fgColor indexed="64"/>
          <bgColor rgb="FFFFFF00"/>
        </patternFill>
      </fill>
      <alignment horizontal="center" vertical="top" textRotation="0" wrapText="0" indent="0" justifyLastLine="0" shrinkToFit="0" readingOrder="0"/>
    </dxf>
    <dxf>
      <numFmt numFmtId="0" formatCode="General"/>
      <fill>
        <patternFill patternType="solid">
          <fgColor indexed="64"/>
          <bgColor rgb="FFFFFF00"/>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9" formatCode="yyyy/mm/dd"/>
    </dxf>
    <dxf>
      <numFmt numFmtId="19" formatCode="yyyy/mm/dd"/>
    </dxf>
    <dxf>
      <font>
        <b val="0"/>
        <i val="0"/>
        <strike val="0"/>
        <condense val="0"/>
        <extend val="0"/>
        <outline val="0"/>
        <shadow val="0"/>
        <u val="none"/>
        <vertAlign val="baseline"/>
        <sz val="11"/>
        <color theme="1"/>
        <name val="Calibri"/>
        <scheme val="minor"/>
      </font>
    </dxf>
    <dxf>
      <numFmt numFmtId="35" formatCode="_-* #,##0.00_-;\-* #,##0.00_-;_-* &quot;-&quot;??_-;_-@_-"/>
    </dxf>
    <dxf>
      <numFmt numFmtId="19" formatCode="yyyy/mm/dd"/>
    </dxf>
    <dxf>
      <numFmt numFmtId="19" formatCode="yyyy/mm/dd"/>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9" formatCode="yyyy/mm/dd"/>
      <alignment horizontal="center" vertical="top" textRotation="0" wrapText="0" indent="0" justifyLastLine="0" shrinkToFit="0" readingOrder="0"/>
    </dxf>
    <dxf>
      <numFmt numFmtId="19" formatCode="yyyy/mm/dd"/>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indent="0" justifyLastLine="0" shrinkToFit="0" readingOrder="0"/>
    </dxf>
    <dxf>
      <alignment horizontal="center" vertical="top" textRotation="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8"/>
        <color theme="1"/>
        <name val="Calibri"/>
        <scheme val="minor"/>
      </font>
      <numFmt numFmtId="0" formatCode="General"/>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theme="0" tint="-0.249977111117893"/>
        </patternFill>
      </fill>
      <alignment horizontal="left" vertical="bottom" textRotation="0" wrapText="0" indent="2"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FFFF00"/>
        </patternFill>
      </fill>
      <alignment horizontal="center" vertical="bottom" textRotation="45"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6" tint="0.39994506668294322"/>
        </patternFill>
      </fill>
    </dxf>
    <dxf>
      <font>
        <b/>
        <i val="0"/>
        <strike val="0"/>
      </font>
      <fill>
        <patternFill>
          <bgColor theme="6"/>
        </patternFill>
      </fill>
    </dxf>
    <dxf>
      <fill>
        <patternFill>
          <bgColor rgb="FFFF4343"/>
        </patternFill>
      </fill>
    </dxf>
    <dxf>
      <fill>
        <patternFill>
          <bgColor rgb="FFFFFF99"/>
        </patternFill>
      </fill>
    </dxf>
    <dxf>
      <fill>
        <patternFill>
          <bgColor rgb="FFFF4B4B"/>
        </patternFill>
      </fill>
    </dxf>
    <dxf>
      <fill>
        <patternFill>
          <bgColor rgb="FFFF4343"/>
        </patternFill>
      </fill>
    </dxf>
    <dxf>
      <fill>
        <patternFill patternType="lightVertical"/>
      </fill>
    </dxf>
    <dxf>
      <fill>
        <patternFill patternType="lightVertical"/>
      </fill>
    </dxf>
    <dxf>
      <fill>
        <patternFill patternType="lightVertical"/>
      </fill>
    </dxf>
    <dxf>
      <fill>
        <patternFill>
          <bgColor rgb="FFFFFF99"/>
        </patternFill>
      </fill>
    </dxf>
    <dxf>
      <font>
        <color theme="1" tint="0.34998626667073579"/>
      </font>
      <fill>
        <patternFill patternType="lightVertical">
          <fgColor auto="1"/>
        </patternFill>
      </fill>
    </dxf>
    <dxf>
      <fill>
        <patternFill>
          <bgColor rgb="FFFF4343"/>
        </patternFill>
      </fill>
    </dxf>
    <dxf>
      <font>
        <color theme="1" tint="0.34998626667073579"/>
      </font>
      <fill>
        <patternFill patternType="lightVertical">
          <fgColor auto="1"/>
          <bgColor theme="0"/>
        </patternFill>
      </fill>
    </dxf>
    <dxf>
      <font>
        <color theme="0" tint="-0.14996795556505021"/>
      </font>
      <fill>
        <patternFill patternType="solid">
          <fgColor auto="1"/>
          <bgColor theme="0"/>
        </patternFill>
      </fill>
    </dxf>
    <dxf>
      <border>
        <top style="double">
          <color theme="1"/>
        </top>
      </border>
    </dxf>
    <dxf>
      <font>
        <b/>
        <color theme="0"/>
      </font>
      <fill>
        <patternFill patternType="solid">
          <fgColor theme="4"/>
          <bgColor theme="8" tint="-0.24994659260841701"/>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border>
        <top style="double">
          <color theme="1"/>
        </top>
      </border>
    </dxf>
    <dxf>
      <font>
        <b/>
        <color theme="0"/>
      </font>
      <fill>
        <patternFill patternType="solid">
          <fgColor theme="4"/>
          <bgColor theme="4"/>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font>
        <b/>
        <i val="0"/>
        <color theme="0"/>
      </font>
      <fill>
        <patternFill>
          <bgColor theme="1" tint="0.24994659260841701"/>
        </patternFill>
      </fill>
    </dxf>
    <dxf>
      <font>
        <b/>
        <color theme="1"/>
      </font>
      <border>
        <top style="double">
          <color theme="1"/>
        </top>
      </border>
    </dxf>
    <dxf>
      <font>
        <b/>
        <color theme="0"/>
      </font>
      <fill>
        <patternFill patternType="solid">
          <fgColor theme="1"/>
          <bgColor theme="1" tint="0.24994659260841701"/>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s>
  <tableStyles count="3" defaultTableStyle="TableStyleMedium2" defaultPivotStyle="PivotStyleMedium9">
    <tableStyle name="TableStyleLight8 2" pivot="0" count="4" xr9:uid="{00000000-0011-0000-FFFF-FFFF00000000}">
      <tableStyleElement type="wholeTable" dxfId="166"/>
      <tableStyleElement type="headerRow" dxfId="165"/>
      <tableStyleElement type="totalRow" dxfId="164"/>
      <tableStyleElement type="firstColumn" dxfId="163"/>
    </tableStyle>
    <tableStyle name="TableStyleMedium16 2" pivot="0" count="3" xr9:uid="{00000000-0011-0000-FFFF-FFFF01000000}">
      <tableStyleElement type="wholeTable" dxfId="162"/>
      <tableStyleElement type="headerRow" dxfId="161"/>
      <tableStyleElement type="totalRow" dxfId="160"/>
    </tableStyle>
    <tableStyle name="TableStyleMedium16 2 2" pivot="0" count="3" xr9:uid="{00000000-0011-0000-FFFF-FFFF02000000}">
      <tableStyleElement type="wholeTable" dxfId="159"/>
      <tableStyleElement type="headerRow" dxfId="158"/>
      <tableStyleElement type="totalRow" dxfId="157"/>
    </tableStyle>
  </tableStyles>
  <colors>
    <mruColors>
      <color rgb="FFFFB300"/>
      <color rgb="FF061A49"/>
      <color rgb="FFFF4343"/>
      <color rgb="FFFFFFFF"/>
      <color rgb="FFFFFF99"/>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5</xdr:row>
      <xdr:rowOff>304800</xdr:rowOff>
    </xdr:from>
    <xdr:to>
      <xdr:col>2</xdr:col>
      <xdr:colOff>636893</xdr:colOff>
      <xdr:row>8</xdr:row>
      <xdr:rowOff>97800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33351" y="1543050"/>
          <a:ext cx="1960867" cy="936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0000000}" name="Table_KMMatrix" displayName="Table_KMMatrix" ref="A13:H80" totalsRowShown="0" headerRowDxfId="141" dataDxfId="139" headerRowBorderDxfId="140" tableBorderDxfId="138" totalsRowBorderDxfId="137">
  <autoFilter ref="A13:H80" xr:uid="{00000000-0009-0000-0100-000018000000}"/>
  <tableColumns count="8">
    <tableColumn id="1" xr3:uid="{00000000-0010-0000-0000-000001000000}" name="Community" dataDxfId="136"/>
    <tableColumn id="2" xr3:uid="{00000000-0010-0000-0000-000002000000}" name="Hamilton" dataDxfId="135"/>
    <tableColumn id="3" xr3:uid="{00000000-0010-0000-0000-000003000000}" name="Kingston" dataDxfId="134"/>
    <tableColumn id="4" xr3:uid="{00000000-0010-0000-0000-000004000000}" name="London" dataDxfId="133"/>
    <tableColumn id="5" xr3:uid="{00000000-0010-0000-0000-000005000000}" name="Ottawa" dataDxfId="132"/>
    <tableColumn id="6" xr3:uid="{00000000-0010-0000-0000-000006000000}" name="Sudbury " dataDxfId="131"/>
    <tableColumn id="7" xr3:uid="{00000000-0010-0000-0000-000007000000}" name="Thunder Bay" dataDxfId="130"/>
    <tableColumn id="8" xr3:uid="{00000000-0010-0000-0000-000008000000}" name="Toronto" dataDxfId="12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_YesNo" displayName="Table_YesNo" ref="AH6:AH9" totalsRowShown="0" headerRowDxfId="70" dataDxfId="69">
  <autoFilter ref="AH6:AH9" xr:uid="{00000000-0009-0000-0100-00000B000000}"/>
  <tableColumns count="1">
    <tableColumn id="1" xr3:uid="{00000000-0010-0000-0900-000001000000}" name="YesNo" dataDxfId="68"/>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_ClaimType" displayName="Table_ClaimType" ref="AJ6:AK10" totalsRowShown="0" headerRowDxfId="67" dataDxfId="66">
  <autoFilter ref="AJ6:AK10" xr:uid="{00000000-0009-0000-0100-00000C000000}"/>
  <tableColumns count="2">
    <tableColumn id="1" xr3:uid="{00000000-0010-0000-0A00-000001000000}" name="Claim Type" dataDxfId="65"/>
    <tableColumn id="2" xr3:uid="{00000000-0010-0000-0A00-000002000000}" name="Advance Amount Available" dataDxfId="64"/>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_PayeeType" displayName="Table_PayeeType" ref="Y6:AA12" totalsRowShown="0" headerRowDxfId="63" dataDxfId="62">
  <autoFilter ref="Y6:AA12" xr:uid="{00000000-0009-0000-0100-00000F000000}"/>
  <tableColumns count="3">
    <tableColumn id="1" xr3:uid="{00000000-0010-0000-0B00-000001000000}" name="Payee Type" dataDxfId="61"/>
    <tableColumn id="2" xr3:uid="{00000000-0010-0000-0B00-000002000000}" name="Mileage Reimbursement Rate" dataDxfId="60">
      <calculatedColumnFormula>DefaultMileageRate</calculatedColumnFormula>
    </tableColumn>
    <tableColumn id="3" xr3:uid="{00000000-0010-0000-0B00-000003000000}" name="ClaimDetails Available" dataDxfId="59"/>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_SubmittingPortfolio" displayName="Table_SubmittingPortfolio" ref="AC6:AC14" totalsRowShown="0" headerRowDxfId="58" dataDxfId="57">
  <autoFilter ref="AC6:AC14" xr:uid="{00000000-0009-0000-0100-000010000000}"/>
  <tableColumns count="1">
    <tableColumn id="1" xr3:uid="{00000000-0010-0000-0C00-000001000000}" name="Submitting Portfolio" dataDxfId="56"/>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D000000}" name="Table_MealDateDuplicates" displayName="Table_MealDateDuplicates" ref="AV6:AZ16" totalsRowShown="0" headerRowDxfId="55" dataDxfId="54">
  <autoFilter ref="AV6:AZ16" xr:uid="{00000000-0009-0000-0100-000001000000}"/>
  <tableColumns count="5">
    <tableColumn id="1" xr3:uid="{00000000-0010-0000-0D00-000001000000}" name="MealDates" dataDxfId="53">
      <calculatedColumnFormula>IF(INDEX(Meal_DatesArray,ROWS($AV$7:AV7),1)=0,"",INDEX(Meal_DatesArray,ROWS($AV$7:AV7)))</calculatedColumnFormula>
    </tableColumn>
    <tableColumn id="2" xr3:uid="{00000000-0010-0000-0D00-000002000000}" name="EQUALS MODE" dataDxfId="52" dataCellStyle="Comma">
      <calculatedColumnFormula>Table_MealDateDuplicates[[#This Row],[MealDates]]=$AV$4</calculatedColumnFormula>
    </tableColumn>
    <tableColumn id="4" xr3:uid="{00000000-0010-0000-0D00-000004000000}" name="Line" dataDxfId="51" dataCellStyle="Comma"/>
    <tableColumn id="3" xr3:uid="{00000000-0010-0000-0D00-000003000000}" name="INDEX" dataDxfId="50">
      <calculatedColumnFormula>IF(Table_MealDateDuplicates[[#This Row],[EQUALS MODE]]=TRUE,CELL("address",INDEX(Meal_DatesArray,Table_MealDateDuplicates[[#This Row],[Line]],1)),"")</calculatedColumnFormula>
    </tableColumn>
    <tableColumn id="5" xr3:uid="{00000000-0010-0000-0D00-000005000000}" name="REF ONLY" dataDxfId="49">
      <calculatedColumnFormula>IFERROR(MID(Table_MealDateDuplicates[[#This Row],[INDEX]],FIND("$",Table_MealDateDuplicates[[#This Row],[INDEX]]),LEN(Table_MealDateDuplicates[[#This Row],[INDEX]])-FIND("$",Table_MealDateDuplicates[[#This Row],[INDEX]])+1),"")</calculatedColumnFormula>
    </tableColumn>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le_Provinces" displayName="Table_Provinces" ref="Q6:R21" totalsRowShown="0">
  <autoFilter ref="Q6:R21" xr:uid="{00000000-0009-0000-0100-000012000000}"/>
  <tableColumns count="2">
    <tableColumn id="1" xr3:uid="{00000000-0010-0000-0E00-000001000000}" name="Province"/>
    <tableColumn id="2" xr3:uid="{00000000-0010-0000-0E00-000002000000}" name="Abbr"/>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Table_Conference" displayName="Table_Conference" ref="AM6:AN9" totalsRowShown="0" headerRowDxfId="48" dataDxfId="47">
  <autoFilter ref="AM6:AN9" xr:uid="{00000000-0009-0000-0100-000013000000}"/>
  <tableColumns count="2">
    <tableColumn id="1" xr3:uid="{00000000-0010-0000-0F00-000001000000}" name="Purpose" dataDxfId="46">
      <calculatedColumnFormula>Dropdown_NotSelectedValue</calculatedColumnFormula>
    </tableColumn>
    <tableColumn id="2" xr3:uid="{00000000-0010-0000-0F00-000002000000}" name="Form Required Available" dataDxfId="45"/>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Table_Requester" displayName="Table_Requester" ref="AP6:AP9" totalsRowShown="0">
  <autoFilter ref="AP6:AP9" xr:uid="{00000000-0009-0000-0100-000014000000}"/>
  <tableColumns count="1">
    <tableColumn id="1" xr3:uid="{00000000-0010-0000-1000-000001000000}" name="Requester">
      <calculatedColumnFormula>Dropdown_NotSelectedValue</calculatedColumnFormula>
    </tableColumn>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Table_ClaimAllocationFund" displayName="Table_ClaimAllocationFund" ref="BB6:BD10" totalsRowShown="0">
  <autoFilter ref="BB6:BD10" xr:uid="{00000000-0009-0000-0100-000015000000}"/>
  <tableColumns count="3">
    <tableColumn id="4" xr3:uid="{00000000-0010-0000-1100-000004000000}" name="COUNTIF MATCH FUND">
      <calculatedColumnFormula>COUNTIFS(Table_ClaimAllocationFund[ClaimAllocation_Fund],Table_ClaimAllocationFund[[#This Row],[ClaimAllocation_Fund]],Table_ClaimAllocationFund[ISBLANK],FALSE)=COUNTIF(Table_ClaimAllocationFund[ISBLANK],FALSE)</calculatedColumnFormula>
    </tableColumn>
    <tableColumn id="1" xr3:uid="{00000000-0010-0000-1100-000001000000}" name="ClaimAllocation_Fund">
      <calculatedColumnFormula>LEFT(ClaimAllocation_GL1,2)</calculatedColumnFormula>
    </tableColumn>
    <tableColumn id="2" xr3:uid="{00000000-0010-0000-1100-000002000000}" name="ISBLANK">
      <calculatedColumnFormula>LEN(Table_ClaimAllocationFund[[#This Row],[ClaimAllocation_Fund]])=0</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_Postal" displayName="Table_Postal" ref="T6:W14" totalsRowShown="0" headerRowDxfId="44" dataDxfId="43">
  <autoFilter ref="T6:W14" xr:uid="{00000000-0009-0000-0100-00001B000000}"/>
  <tableColumns count="4">
    <tableColumn id="1" xr3:uid="{00000000-0010-0000-1200-000001000000}" name="Check #" dataDxfId="42"/>
    <tableColumn id="2" xr3:uid="{00000000-0010-0000-1200-000002000000}" name="Check Name" dataDxfId="41"/>
    <tableColumn id="3" xr3:uid="{00000000-0010-0000-1200-000003000000}" name="Result" dataDxfId="40"/>
    <tableColumn id="4" xr3:uid="{00000000-0010-0000-1200-000004000000}" name="Result (if needed)" dataDxfId="39">
      <calculatedColumnFormula>IF($V$4=TRUE,Table_Postal[[#This Row],[Result]],TRUE)</calculatedColumnFormula>
    </tableColumn>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le_ErrorList" displayName="Table_ErrorList" ref="A6:V184" totalsRowShown="0" headerRowDxfId="128" dataDxfId="127">
  <autoFilter ref="A6:V184" xr:uid="{00000000-0009-0000-0100-00000D000000}"/>
  <sortState xmlns:xlrd2="http://schemas.microsoft.com/office/spreadsheetml/2017/richdata2" ref="A7:V171">
    <sortCondition ref="D6:D171"/>
  </sortState>
  <tableColumns count="22">
    <tableColumn id="2" xr3:uid="{00000000-0010-0000-0100-000002000000}" name="Error Evaluation" dataDxfId="126">
      <calculatedColumnFormula>OR(ISBLANK(Table_ErrorList[[#This Row],[Relevant Cell Value]]),Table_ErrorList[[#This Row],[Relevant Cell Value]]=Dropdown_NotSelectedValue,Table_ErrorList[[#This Row],[Relevant Cell Value]]=0)</calculatedColumnFormula>
    </tableColumn>
    <tableColumn id="12" xr3:uid="{00000000-0010-0000-0100-00000C000000}" name="Relevant Cell Value" dataDxfId="125">
      <calculatedColumnFormula>IFERROR(INDIRECT(Table_ErrorList[[#This Row],[Attention To Named Range]]),"Error")</calculatedColumnFormula>
    </tableColumn>
    <tableColumn id="1" xr3:uid="{00000000-0010-0000-0100-000001000000}" name="Hierarchy (Original)" dataDxfId="124"/>
    <tableColumn id="21" xr3:uid="{00000000-0010-0000-0100-000015000000}" name="Hierarchy" dataDxfId="123">
      <calculatedColumnFormula>IF(Table_ErrorList[[#This Row],[Manual Hierarchy]]="",CONCATENATE(TEXT(Table_ErrorList[[#This Row],[Section '#]],"00"),"-",TEXT(COUNTIF($E7:OFFSET(Table_ErrorList[[#Headers],[Section '#]],1,0,1,1),Table_ErrorList[[#This Row],[Section '#]]),"000")),Table_ErrorList[[#This Row],[Manual Hierarchy]])</calculatedColumnFormula>
    </tableColumn>
    <tableColumn id="19" xr3:uid="{00000000-0010-0000-0100-000013000000}" name="Section #" dataDxfId="122"/>
    <tableColumn id="20" xr3:uid="{00000000-0010-0000-0100-000014000000}" name="Section Name" dataDxfId="121">
      <calculatedColumnFormula>IFERROR(VLOOKUP(Table_ErrorList[[#This Row],[Section '#]],Table_SectionNames[],MATCH(Table_SectionNames[[#Headers],[Name]],Table_SectionNames[#Headers],0),FALSE),"Not found")</calculatedColumnFormula>
    </tableColumn>
    <tableColumn id="22" xr3:uid="{00000000-0010-0000-0100-000016000000}" name="Manual Hierarchy" dataDxfId="120"/>
    <tableColumn id="7" xr3:uid="{00000000-0010-0000-0100-000007000000}" name="Attention To Reference Type (Formula)" dataDxfId="119">
      <calculatedColumnFormula>IFERROR(VLOOKUP(Table_ErrorList[[#This Row],[Attention To Named Range]],Table_NamedRanges[],MATCH(Table_NamedRanges[[#Headers],[Reference Type]],Table_NamedRanges[#Headers],0),FALSE),"Error")</calculatedColumnFormula>
    </tableColumn>
    <tableColumn id="10" xr3:uid="{00000000-0010-0000-0100-00000A000000}" name="Attention To Named Range" dataDxfId="118"/>
    <tableColumn id="11" xr3:uid="{00000000-0010-0000-0100-00000B000000}" name="Used Reference" dataDxfId="117">
      <calculatedColumnFormula>IF(Table_ErrorList[[#This Row],[Manual Reference]]="",Table_ErrorList[[#This Row],[''Attention To'' Refence]],Table_ErrorList[[#This Row],[Manual Reference]])&amp;","</calculatedColumnFormula>
    </tableColumn>
    <tableColumn id="15" xr3:uid="{00000000-0010-0000-0100-00000F000000}" name="'Attention To' Refence" dataDxfId="116">
      <calculatedColumnFormula>SUBSTITUTE(SUBSTITUTE(VLOOKUP(Table_ErrorList[[#This Row],[Attention To Named Range]],Table_NamedRanges[],MATCH(Table_NamedRanges[[#Headers],[Reference Text]],Table_NamedRanges[#Headers],0),FALSE),"=",""),"'Travel Expense Summary'!","")</calculatedColumnFormula>
    </tableColumn>
    <tableColumn id="14" xr3:uid="{00000000-0010-0000-0100-00000E000000}" name="Manual Reference" dataDxfId="115"/>
    <tableColumn id="9" xr3:uid="{00000000-0010-0000-0100-000009000000}" name="Description" dataDxfId="114"/>
    <tableColumn id="3" xr3:uid="{00000000-0010-0000-0100-000003000000}" name="Message Bar Display" dataDxfId="113"/>
    <tableColumn id="4" xr3:uid="{00000000-0010-0000-0100-000004000000}" name="Message Bar Colour" dataDxfId="112"/>
    <tableColumn id="5" xr3:uid="{00000000-0010-0000-0100-000005000000}" name="Details Explanation (Line #1)" dataDxfId="111"/>
    <tableColumn id="8" xr3:uid="{00000000-0010-0000-0100-000008000000}" name="Details Explanation (Line #2)" dataDxfId="110"/>
    <tableColumn id="13" xr3:uid="{00000000-0010-0000-0100-00000D000000}" name="Details Combined" dataDxfId="109">
      <calculatedColumnFormula>CONCATENATE(Table_ErrorList[[#This Row],[Details Explanation (Line '#1)]],IF(Table_ErrorList[[#This Row],[Details Explanation (Line '#2)]]&lt;&gt;"",CHAR(10)&amp;Table_ErrorList[[#This Row],[Details Explanation (Line '#2)]],""))</calculatedColumnFormula>
    </tableColumn>
    <tableColumn id="6" xr3:uid="{00000000-0010-0000-0100-000006000000}" name="Field Details Colour" dataDxfId="108"/>
    <tableColumn id="16" xr3:uid="{00000000-0010-0000-0100-000010000000}" name="Message Bar Length" dataDxfId="107">
      <calculatedColumnFormula>IF(LEN(Table_ErrorList[[#This Row],[Message Bar Display]])&gt;$U$5,"Too Long, Characters = "&amp;LEN(Table_ErrorList[[#This Row],[Message Bar Display]])," ")</calculatedColumnFormula>
    </tableColumn>
    <tableColumn id="17" xr3:uid="{00000000-0010-0000-0100-000011000000}" name="Details 1 Length" dataDxfId="106">
      <calculatedColumnFormula>IF(LEN(Table_ErrorList[[#This Row],[Details Explanation (Line '#1)]])&gt;$U$5,"Too Long, Characters = "&amp;LEN(Table_ErrorList[[#This Row],[Details Explanation (Line '#1)]])," ")</calculatedColumnFormula>
    </tableColumn>
    <tableColumn id="18" xr3:uid="{00000000-0010-0000-0100-000012000000}" name="Details 2 Length" dataDxfId="105">
      <calculatedColumnFormula>IF(LEN(Table_ErrorList[[#This Row],[Details Explanation (Line '#2)]])&gt;$U$5,"Too Long, Characters = "&amp;LEN(Table_ErrorList[[#This Row],[Details Explanation (Line '#2)]])," ")</calculatedColumnFormula>
    </tableColumn>
  </tableColumns>
  <tableStyleInfo name="TableStyleMedium16 2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3000000}" name="Table_KMCommunity" displayName="Table_KMCommunity" ref="B6:B74" totalsRowShown="0" headerRowDxfId="38" dataDxfId="37">
  <autoFilter ref="B6:B74" xr:uid="{00000000-0009-0000-0100-000011000000}"/>
  <tableColumns count="1">
    <tableColumn id="1" xr3:uid="{00000000-0010-0000-1300-000001000000}" name="Community" dataDxfId="36"/>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able_KMCentre" displayName="Table_KMCentre" ref="D6:D14" totalsRowShown="0" headerRowDxfId="35" dataDxfId="34">
  <autoFilter ref="D6:D14" xr:uid="{00000000-0009-0000-0100-000019000000}"/>
  <tableColumns count="1">
    <tableColumn id="1" xr3:uid="{00000000-0010-0000-1400-000001000000}" name="Community" dataDxfId="33"/>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_MealMax" displayName="Table_MealMax" ref="B5:D8" totalsRowShown="0" headerRowDxfId="32" dataDxfId="31">
  <autoFilter ref="B5:D8" xr:uid="{00000000-0009-0000-0100-000002000000}"/>
  <tableColumns count="3">
    <tableColumn id="1" xr3:uid="{00000000-0010-0000-1500-000001000000}" name="Meal Initial" dataDxfId="30"/>
    <tableColumn id="2" xr3:uid="{00000000-0010-0000-1500-000002000000}" name="Meal Name" dataDxfId="29"/>
    <tableColumn id="3" xr3:uid="{00000000-0010-0000-1500-000003000000}" name="Meal Maximum" dataDxfId="28" dataCellStyle="Comma"/>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6000000}" name="Table_Expenses" displayName="Table_Expenses" ref="B5:M25" totalsRowShown="0" headerRowDxfId="27" dataDxfId="26">
  <autoFilter ref="B5:M25" xr:uid="{00000000-0009-0000-0100-000004000000}"/>
  <sortState xmlns:xlrd2="http://schemas.microsoft.com/office/spreadsheetml/2017/richdata2" ref="B6:M22">
    <sortCondition ref="C5:C22"/>
  </sortState>
  <tableColumns count="12">
    <tableColumn id="3" xr3:uid="{00000000-0010-0000-1600-000003000000}" name="Expense" dataDxfId="25">
      <calculatedColumnFormula>Table_Expenses[[#This Row],[Class]]&amp;"-"&amp;Table_Expenses[[#This Row],[Expenses]]</calculatedColumnFormula>
    </tableColumn>
    <tableColumn id="12" xr3:uid="{00000000-0010-0000-1600-00000C000000}" name="Hierarchy" dataDxfId="24"/>
    <tableColumn id="1" xr3:uid="{00000000-0010-0000-1600-000001000000}" name="Expenses" dataDxfId="23"/>
    <tableColumn id="2" xr3:uid="{00000000-0010-0000-1600-000002000000}" name="Class" dataDxfId="22"/>
    <tableColumn id="11" xr3:uid="{00000000-0010-0000-1600-00000B000000}" name="Summary Pot #" dataDxfId="21"/>
    <tableColumn id="6" xr3:uid="{00000000-0010-0000-1600-000006000000}" name="Summary Pot" dataDxfId="20">
      <calculatedColumnFormula>VLOOKUP(Table_Expenses[[#This Row],[Summary Pot '#]],Table_SummaryPots[],MATCH(Table_SummaryPots[[#Headers],[Summary Pots]],Table_SummaryPots[#Headers],0),FALSE)</calculatedColumnFormula>
    </tableColumn>
    <tableColumn id="4" xr3:uid="{00000000-0010-0000-1600-000004000000}" name="Receipt or Mileage" dataDxfId="19"/>
    <tableColumn id="5" xr3:uid="{00000000-0010-0000-1600-000005000000}" name="DescriptionRequired" dataDxfId="18"/>
    <tableColumn id="7" xr3:uid="{00000000-0010-0000-1600-000007000000}" name="FromRequired" dataDxfId="17"/>
    <tableColumn id="8" xr3:uid="{00000000-0010-0000-1600-000008000000}" name="ToRequired" dataDxfId="16"/>
    <tableColumn id="9" xr3:uid="{00000000-0010-0000-1600-000009000000}" name="ReceiptRequired" dataDxfId="15">
      <calculatedColumnFormula>IF(Table_Expenses[[#This Row],[Receipt or Mileage]]="Receipt",TRUE,FALSE)</calculatedColumnFormula>
    </tableColumn>
    <tableColumn id="10" xr3:uid="{00000000-0010-0000-1600-00000A000000}" name="KMRequired" dataDxfId="14">
      <calculatedColumnFormula>NOT(Table_Expenses[[#This Row],[ReceiptRequired]])</calculatedColumnFormula>
    </tableColumn>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7000000}" name="Table_SummaryPots" displayName="Table_SummaryPots" ref="B28:D31" totalsRowShown="0">
  <autoFilter ref="B28:D31" xr:uid="{00000000-0009-0000-0100-000009000000}"/>
  <tableColumns count="3">
    <tableColumn id="1" xr3:uid="{00000000-0010-0000-1700-000001000000}" name="Pot #"/>
    <tableColumn id="2" xr3:uid="{00000000-0010-0000-1700-000002000000}" name="Summary Pots"/>
    <tableColumn id="3" xr3:uid="{00000000-0010-0000-1700-000003000000}" name="SUM" dataCellStyle="Currency"/>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26" displayName="Table26" ref="B38:F49" totalsRowShown="0">
  <autoFilter ref="B38:F49" xr:uid="{00000000-0009-0000-0100-00001A000000}"/>
  <tableColumns count="5">
    <tableColumn id="1" xr3:uid="{00000000-0010-0000-1800-000001000000}" name="Row"/>
    <tableColumn id="2" xr3:uid="{00000000-0010-0000-1800-000002000000}" name="HideReceipt">
      <calculatedColumnFormula>IFERROR(VLOOKUP(INDEX(Other_ExpenseTypeArray,$B39,1),Table_Expenses[],MATCH(Table_Expenses[[#Headers],[ReceiptRequired]],Table_Expenses[#Headers],0),FALSE)=FALSE,FALSE)</calculatedColumnFormula>
    </tableColumn>
    <tableColumn id="3" xr3:uid="{00000000-0010-0000-1800-000003000000}" name="HideKM" dataDxfId="13">
      <calculatedColumnFormula>IFERROR(VLOOKUP(INDEX(Other_ExpenseTypeArray,$B39,1),Table_Expenses[],MATCH(Table_Expenses[[#Headers],[KMRequired]],Table_Expenses[#Headers],0),FALSE)=FALSE,FALSE)</calculatedColumnFormula>
    </tableColumn>
    <tableColumn id="4" xr3:uid="{00000000-0010-0000-1800-000004000000}" name="ReceiptReference" dataDxfId="12">
      <calculatedColumnFormula>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calculatedColumnFormula>
    </tableColumn>
    <tableColumn id="5" xr3:uid="{00000000-0010-0000-1800-000005000000}" name="KMReferences" dataDxfId="11">
      <calculatedColumnFormula>IF(Table26[[#This Row],[HideKM]]=TRUE,
MID(CELL("address",OFFSET(INDEX(Other_KMArray,1,1),Table26[[#This Row],[Row]]-1,0)),
FIND("$",CELL("address",OFFSET(INDEX(Other_KMArray,1,1),Table26[[#This Row],[Row]]-1,0)),1),
LEN(CELL("address",OFFSET(INDEX(Other_KMArray,1,1),Table26[[#This Row],[Row]]-1,0)))-FIND("$",CELL("address",OFFSET(INDEX(Other_KMArray,1,1),Table26[[#This Row],[Row]]-1,0)),1)+1)&amp;",",
"")</calculatedColumnFormula>
    </tableColumn>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9000000}" name="Table_SectionNames" displayName="Table_SectionNames" ref="B5:E22" totalsRowShown="0" headerRowDxfId="10" dataDxfId="9">
  <autoFilter ref="B5:E22" xr:uid="{00000000-0009-0000-0100-000016000000}"/>
  <sortState xmlns:xlrd2="http://schemas.microsoft.com/office/spreadsheetml/2017/richdata2" ref="B4:E16">
    <sortCondition ref="B3:B16"/>
  </sortState>
  <tableColumns count="4">
    <tableColumn id="2" xr3:uid="{00000000-0010-0000-1900-000002000000}" name="Section #" dataDxfId="8"/>
    <tableColumn id="3" xr3:uid="{00000000-0010-0000-1900-000003000000}" name="Name" dataDxfId="7"/>
    <tableColumn id="5" xr3:uid="{00000000-0010-0000-1900-000005000000}" name="Include #?" dataDxfId="6"/>
    <tableColumn id="4" xr3:uid="{00000000-0010-0000-1900-000004000000}" name="Section Header" dataDxfId="5">
      <calculatedColumnFormula>CONCATENATE(IF(Table_SectionNames[[#This Row],[Include '#?]]=FALSE,"",TEXT(Table_SectionNames[[#This Row],[Section '#]],"#. ")),Table_SectionNames[[#This Row],[Name]])</calculatedColumnFormula>
    </tableColumn>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A000000}" name="Table_ClaimStatus" displayName="Table_ClaimStatus" ref="B28:G43" totalsRowShown="0">
  <autoFilter ref="B28:G43" xr:uid="{00000000-0009-0000-0100-000017000000}"/>
  <tableColumns count="6">
    <tableColumn id="1" xr3:uid="{00000000-0010-0000-1A00-000001000000}" name="Calculation" dataDxfId="4">
      <calculatedColumnFormula>COUNTIFS(Table_ErrorList[Error Evaluation],TRUE,Table_ErrorList[Section '#],Table_ClaimStatus[[#This Row],[Section '#]])&gt;0</calculatedColumnFormula>
    </tableColumn>
    <tableColumn id="2" xr3:uid="{00000000-0010-0000-1A00-000002000000}" name="Description"/>
    <tableColumn id="3" xr3:uid="{00000000-0010-0000-1A00-000003000000}" name="Section #" dataDxfId="3"/>
    <tableColumn id="4" xr3:uid="{00000000-0010-0000-1A00-000004000000}" name="Message" dataDxfId="2">
      <calculatedColumnFormula>IF(Table_ClaimStatus[[#This Row],[Manual Message]]="",CONCATENATE("Section ",VLOOKUP(Table_ClaimStatus[[#This Row],[Section '#]],Table_SectionNames[],MATCH(Table_SectionNames[[#Headers],[Section Header]],Table_SectionNames[#Headers],0))," in progress"),Table_ClaimStatus[[#This Row],[Manual Message]])</calculatedColumnFormula>
    </tableColumn>
    <tableColumn id="6" xr3:uid="{00000000-0010-0000-1A00-000006000000}" name="Manual Message" dataDxfId="1"/>
    <tableColumn id="5" xr3:uid="{00000000-0010-0000-1A00-000005000000}" name="COLOUR ON"/>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2000000}" name="Table_NamedRanges" displayName="Table_NamedRanges" ref="B3:K217" totalsRowShown="0" dataDxfId="104">
  <autoFilter ref="B3:K217" xr:uid="{00000000-0009-0000-0100-00000E000000}"/>
  <tableColumns count="10">
    <tableColumn id="1" xr3:uid="{00000000-0010-0000-0200-000001000000}" name="Named Range Paste" dataDxfId="103"/>
    <tableColumn id="2" xr3:uid="{00000000-0010-0000-0200-000002000000}" name="Reference Paste" dataDxfId="102"/>
    <tableColumn id="11" xr3:uid="{00000000-0010-0000-0200-00000B000000}" name="Value" dataDxfId="101">
      <calculatedColumnFormula>IFERROR(INDIRECT(Table_NamedRanges[[#This Row],[Named Range Paste]]),"Undefined/Error")</calculatedColumnFormula>
    </tableColumn>
    <tableColumn id="3" xr3:uid="{00000000-0010-0000-0200-000003000000}" name="Reference Text" dataDxfId="100">
      <calculatedColumnFormula>Table_NamedRanges[[#This Row],[Reference Paste]]</calculatedColumnFormula>
    </tableColumn>
    <tableColumn id="8" xr3:uid="{00000000-0010-0000-0200-000008000000}" name="Used in Error List" dataDxfId="99">
      <calculatedColumnFormula>ISERROR(VLOOKUP(Table_NamedRanges[[#This Row],[Named Range Paste]],OFFSET(INDEX(Table_ErrorList[],1,1),0,MATCH(Table_ErrorList[[#Headers],[Attention To Named Range]],Table_ErrorList[#Headers],0)-1,ROWS(Table_ErrorList[]),1),1,FALSE))=FALSE</calculatedColumnFormula>
    </tableColumn>
    <tableColumn id="6" xr3:uid="{00000000-0010-0000-0200-000006000000}" name="Starts with '" dataDxfId="98">
      <calculatedColumnFormula>MID(Table_NamedRanges[[#This Row],[Reference Text]],2,1)="'"</calculatedColumnFormula>
    </tableColumn>
    <tableColumn id="5" xr3:uid="{00000000-0010-0000-0200-000005000000}" name="Count of Colon &quot;:&quot;" dataDxfId="97">
      <calculatedColumnFormula>(LEN(Table_NamedRanges[[#This Row],[Reference Text]])-LEN(SUBSTITUTE(Table_NamedRanges[[#This Row],[Reference Text]],":","")))/LEN(":")</calculatedColumnFormula>
    </tableColumn>
    <tableColumn id="4" xr3:uid="{00000000-0010-0000-0200-000004000000}" name="Square Bracket?" dataDxfId="96">
      <calculatedColumnFormula>OR(ISERROR(FIND("[",Table_NamedRanges[[#This Row],[Reference Text]],1))=FALSE,ISERROR(FIND("]",Table_NamedRanges[[#This Row],[Reference Text]],1))=FALSE)</calculatedColumnFormula>
    </tableColumn>
    <tableColumn id="10" xr3:uid="{00000000-0010-0000-0200-00000A000000}" name="Count of &quot;,&quot;" dataDxfId="95">
      <calculatedColumnFormula>(LEN(Table_NamedRanges[[#This Row],[Reference Text]])-LEN(SUBSTITUTE(Table_NamedRanges[[#This Row],[Reference Text]],",","")))/LEN(",")</calculatedColumnFormula>
    </tableColumn>
    <tableColumn id="7" xr3:uid="{00000000-0010-0000-0200-000007000000}" name="Reference Type" dataDxfId="94">
      <calculatedColumnFormula>IF(Table_NamedRanges[[#This Row],[Starts with '']]=FALSE,"Other",IF(AND(Table_NamedRanges[[#This Row],[Count of Colon ":"]]=0,Table_NamedRanges[[#This Row],[Count of ","]]=0),"Single Cell",IF(Table_NamedRanges[[#This Row],[Count of Colon ":"]]=1,"Single Range", "Multiple (Cell or Range)")))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_Dates" displayName="Table_Dates" ref="C6:E66" totalsRowShown="0" headerRowDxfId="93" dataDxfId="92">
  <autoFilter ref="C6:E66" xr:uid="{00000000-0009-0000-0100-000003000000}"/>
  <tableColumns count="3">
    <tableColumn id="1" xr3:uid="{00000000-0010-0000-0300-000001000000}" name="Day #" dataDxfId="91"/>
    <tableColumn id="2" xr3:uid="{00000000-0010-0000-0300-000002000000}" name="Travel End Date Available" dataDxfId="90">
      <calculatedColumnFormula>IF(Field15_TravelStartDate="","",Field15_TravelStartDate+Table_Dates[[#This Row],[Day '#]]-1)</calculatedColumnFormula>
    </tableColumn>
    <tableColumn id="3" xr3:uid="{00000000-0010-0000-0300-000003000000}" name="Receipt Date Available" dataDxfId="89">
      <calculatedColumnFormula>IF(AND(Field15_TravelStartDate&lt;=Table_Dates[[#This Row],[Travel End Date Available]],Field16_TravelEndDate&gt;=Table_Dates[[#This Row],[Travel End Date Available]]),Table_Dates[[#This Row],[Travel End Date Available]],"XXXX")</calculatedColumnFormula>
    </tableColumn>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TripType" displayName="Table_TripType" ref="G6:G9" totalsRowShown="0" headerRowDxfId="88" dataDxfId="87">
  <autoFilter ref="G6:G9" xr:uid="{00000000-0009-0000-0100-000005000000}"/>
  <tableColumns count="1">
    <tableColumn id="1" xr3:uid="{00000000-0010-0000-0400-000001000000}" name="Trip Type" dataDxfId="86"/>
  </tableColumns>
  <tableStyleInfo name="TableStyleMedium16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Prefix" displayName="Table_Prefix" ref="I6:I10" totalsRowShown="0" headerRowDxfId="85" dataDxfId="84">
  <autoFilter ref="I6:I10" xr:uid="{00000000-0009-0000-0100-000006000000}"/>
  <tableColumns count="1">
    <tableColumn id="1" xr3:uid="{00000000-0010-0000-0500-000001000000}" name="Prefix" dataDxfId="83"/>
  </tableColumns>
  <tableStyleInfo name="TableStyleMedium16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PaymentOption" displayName="Table_PaymentOption" ref="K6:M12" totalsRowShown="0" headerRowDxfId="82" dataDxfId="81">
  <autoFilter ref="K6:M12" xr:uid="{00000000-0009-0000-0100-000007000000}"/>
  <tableColumns count="3">
    <tableColumn id="1" xr3:uid="{00000000-0010-0000-0600-000001000000}" name="Banking Options" dataDxfId="80">
      <calculatedColumnFormula>Table_PaymentOption[[#This Row],[Top]]&amp;IF(Table_PaymentOption[[#This Row],[Bottom]]&lt;&gt;"",CHAR(10)&amp;Table_PaymentOption[[#This Row],[Bottom]],"")</calculatedColumnFormula>
    </tableColumn>
    <tableColumn id="2" xr3:uid="{00000000-0010-0000-0600-000002000000}" name="Top" dataDxfId="79"/>
    <tableColumn id="3" xr3:uid="{00000000-0010-0000-0600-000003000000}" name="Bottom" dataDxfId="78"/>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AddressType" displayName="Table_AddressType" ref="O6:O10" totalsRowShown="0" headerRowDxfId="77" dataDxfId="76">
  <autoFilter ref="O6:O10" xr:uid="{00000000-0009-0000-0100-000008000000}"/>
  <tableColumns count="1">
    <tableColumn id="1" xr3:uid="{00000000-0010-0000-0700-000001000000}" name="Address Type" dataDxfId="75"/>
  </tableColumns>
  <tableStyleInfo name="TableStyleMedium16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Range" displayName="Table_Range" ref="AE6:AF10" totalsRowShown="0" headerRowDxfId="74" dataDxfId="73">
  <autoFilter ref="AE6:AF10" xr:uid="{00000000-0009-0000-0100-00000A000000}"/>
  <tableColumns count="2">
    <tableColumn id="1" xr3:uid="{00000000-0010-0000-0800-000001000000}" name="Range" dataDxfId="72"/>
    <tableColumn id="2" xr3:uid="{00000000-0010-0000-0800-000002000000}" name="HST Calculation" dataDxfId="71"/>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61A49"/>
    <pageSetUpPr fitToPage="1"/>
  </sheetPr>
  <dimension ref="A1:BD98"/>
  <sheetViews>
    <sheetView showGridLines="0" tabSelected="1" zoomScale="90" zoomScaleNormal="90" workbookViewId="0">
      <pane ySplit="4" topLeftCell="A6" activePane="bottomLeft" state="frozen"/>
      <selection pane="bottomLeft" activeCell="H16" sqref="H16:M18"/>
    </sheetView>
  </sheetViews>
  <sheetFormatPr defaultRowHeight="15" x14ac:dyDescent="0.2"/>
  <cols>
    <col min="1" max="1" width="1.42578125" style="33" customWidth="1"/>
    <col min="2" max="2" width="20.42578125" style="33" customWidth="1"/>
    <col min="3" max="4" width="10" style="33" customWidth="1"/>
    <col min="5" max="5" width="7.140625" style="33" customWidth="1"/>
    <col min="6" max="6" width="12.85546875" style="33" customWidth="1"/>
    <col min="7" max="8" width="5.7109375" style="33" customWidth="1"/>
    <col min="9" max="9" width="4.85546875" style="33" customWidth="1"/>
    <col min="10" max="11" width="10.7109375" style="33" customWidth="1"/>
    <col min="12" max="12" width="14.85546875" style="33" customWidth="1"/>
    <col min="13" max="13" width="7.7109375" style="33" customWidth="1"/>
    <col min="14" max="15" width="5.7109375" style="33" customWidth="1"/>
    <col min="16" max="16" width="7.7109375" style="33" customWidth="1"/>
    <col min="17" max="17" width="5.7109375" style="33" customWidth="1"/>
    <col min="18" max="19" width="10.7109375" style="33" customWidth="1"/>
    <col min="20" max="23" width="5.7109375" style="33" customWidth="1"/>
    <col min="24" max="25" width="10.7109375" style="33" customWidth="1"/>
    <col min="26" max="26" width="11.7109375" style="33" customWidth="1"/>
    <col min="27" max="27" width="1.42578125" style="33" customWidth="1"/>
    <col min="28" max="28" width="9.140625" style="33"/>
    <col min="29" max="29" width="11.85546875" style="33" bestFit="1" customWidth="1"/>
    <col min="30" max="30" width="8" style="33" bestFit="1" customWidth="1"/>
    <col min="31" max="37" width="9.140625" style="33"/>
    <col min="38" max="38" width="9.7109375" style="33" bestFit="1" customWidth="1"/>
    <col min="39" max="39" width="9.28515625" style="33" bestFit="1" customWidth="1"/>
    <col min="40" max="40" width="9.7109375" style="33" bestFit="1" customWidth="1"/>
    <col min="41" max="16384" width="9.140625" style="33"/>
  </cols>
  <sheetData>
    <row r="1" spans="1:56" ht="18.75" customHeight="1" x14ac:dyDescent="0.2">
      <c r="A1" s="284" t="s">
        <v>0</v>
      </c>
      <c r="B1" s="284"/>
      <c r="C1" s="291" t="str">
        <f ca="1">VLOOKUP(TRUE,Table_ErrorList[],MATCH(Table_ErrorList[[#Headers],[Message Bar Display]],Table_ErrorList[#Headers],0),FALSE)</f>
        <v>You have successfully included 4 items totalling $680.18.</v>
      </c>
      <c r="D1" s="292"/>
      <c r="E1" s="292"/>
      <c r="F1" s="292"/>
      <c r="G1" s="292"/>
      <c r="H1" s="292"/>
      <c r="I1" s="292"/>
      <c r="J1" s="292"/>
      <c r="K1" s="292"/>
      <c r="L1" s="292"/>
      <c r="M1" s="292"/>
      <c r="N1" s="292"/>
      <c r="O1" s="292"/>
      <c r="P1" s="292"/>
      <c r="Q1" s="292"/>
      <c r="R1" s="292"/>
      <c r="S1" s="292"/>
      <c r="T1" s="292"/>
      <c r="U1" s="292"/>
      <c r="V1" s="292"/>
      <c r="W1" s="292"/>
      <c r="X1" s="292"/>
      <c r="Y1" s="292"/>
      <c r="Z1" s="292"/>
      <c r="AA1" s="293"/>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18.75" customHeight="1" x14ac:dyDescent="0.2">
      <c r="A2" s="284"/>
      <c r="B2" s="284"/>
      <c r="C2" s="294"/>
      <c r="D2" s="295"/>
      <c r="E2" s="295"/>
      <c r="F2" s="295"/>
      <c r="G2" s="295"/>
      <c r="H2" s="295"/>
      <c r="I2" s="295"/>
      <c r="J2" s="295"/>
      <c r="K2" s="295"/>
      <c r="L2" s="295"/>
      <c r="M2" s="295"/>
      <c r="N2" s="295"/>
      <c r="O2" s="295"/>
      <c r="P2" s="295"/>
      <c r="Q2" s="295"/>
      <c r="R2" s="295"/>
      <c r="S2" s="295"/>
      <c r="T2" s="295"/>
      <c r="U2" s="295"/>
      <c r="V2" s="295"/>
      <c r="W2" s="295"/>
      <c r="X2" s="295"/>
      <c r="Y2" s="295"/>
      <c r="Z2" s="295"/>
      <c r="AA2" s="29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22.5" customHeight="1" x14ac:dyDescent="0.2">
      <c r="A3" s="284" t="s">
        <v>1</v>
      </c>
      <c r="B3" s="284"/>
      <c r="C3" s="285" t="str">
        <f ca="1">VLOOKUP(TRUE,Table_ErrorList[],MATCH(Table_ErrorList[[#Headers],[Details Combined]],Table_ErrorList[#Headers],0),FALSE)</f>
        <v>If this is all your claim items, forward your claim to the appropriate individual for review and approval.
If this is not all your items, continue completing '6.0 Meals' and '7.0 Other Expenses'.</v>
      </c>
      <c r="D3" s="286"/>
      <c r="E3" s="286"/>
      <c r="F3" s="286"/>
      <c r="G3" s="286"/>
      <c r="H3" s="286"/>
      <c r="I3" s="286"/>
      <c r="J3" s="286"/>
      <c r="K3" s="286"/>
      <c r="L3" s="286"/>
      <c r="M3" s="286"/>
      <c r="N3" s="286"/>
      <c r="O3" s="286"/>
      <c r="P3" s="286"/>
      <c r="Q3" s="286"/>
      <c r="R3" s="286"/>
      <c r="S3" s="286"/>
      <c r="T3" s="286"/>
      <c r="U3" s="286"/>
      <c r="V3" s="286"/>
      <c r="W3" s="286"/>
      <c r="X3" s="286"/>
      <c r="Y3" s="286"/>
      <c r="Z3" s="286"/>
      <c r="AA3" s="287"/>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22.5" customHeight="1" x14ac:dyDescent="0.2">
      <c r="A4" s="284"/>
      <c r="B4" s="284"/>
      <c r="C4" s="288"/>
      <c r="D4" s="289"/>
      <c r="E4" s="289"/>
      <c r="F4" s="289"/>
      <c r="G4" s="289"/>
      <c r="H4" s="289"/>
      <c r="I4" s="289"/>
      <c r="J4" s="289"/>
      <c r="K4" s="289"/>
      <c r="L4" s="289"/>
      <c r="M4" s="289"/>
      <c r="N4" s="289"/>
      <c r="O4" s="289"/>
      <c r="P4" s="289"/>
      <c r="Q4" s="289"/>
      <c r="R4" s="289"/>
      <c r="S4" s="289"/>
      <c r="T4" s="289"/>
      <c r="U4" s="289"/>
      <c r="V4" s="289"/>
      <c r="W4" s="289"/>
      <c r="X4" s="289"/>
      <c r="Y4" s="289"/>
      <c r="Z4" s="289"/>
      <c r="AA4" s="290"/>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row>
    <row r="5" spans="1:56" ht="15" customHeight="1" x14ac:dyDescent="0.2">
      <c r="A5" s="34"/>
      <c r="B5" s="35"/>
      <c r="C5" s="35"/>
      <c r="D5" s="35"/>
      <c r="E5" s="35"/>
      <c r="F5" s="35"/>
      <c r="G5" s="35"/>
      <c r="H5" s="35"/>
      <c r="I5" s="35"/>
      <c r="J5" s="35"/>
      <c r="K5" s="35"/>
      <c r="L5" s="35"/>
      <c r="M5" s="35"/>
      <c r="N5" s="35"/>
      <c r="O5" s="35"/>
      <c r="P5" s="35"/>
      <c r="Q5" s="35"/>
      <c r="R5" s="35"/>
      <c r="S5" s="35"/>
      <c r="T5" s="35"/>
      <c r="U5" s="35"/>
      <c r="V5" s="35"/>
      <c r="W5" s="35"/>
      <c r="X5" s="35"/>
      <c r="Y5" s="35"/>
      <c r="Z5" s="35"/>
      <c r="AA5" s="35"/>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row>
    <row r="6" spans="1:56" ht="30" customHeight="1" x14ac:dyDescent="0.25">
      <c r="A6" s="36"/>
      <c r="B6" s="203" t="s">
        <v>2</v>
      </c>
      <c r="C6" s="204"/>
      <c r="D6" s="202" t="s">
        <v>3</v>
      </c>
      <c r="E6" s="202"/>
      <c r="F6" s="202"/>
      <c r="G6" s="202"/>
      <c r="H6" s="202"/>
      <c r="I6" s="202"/>
      <c r="J6" s="202"/>
      <c r="K6" s="202"/>
      <c r="L6" s="202"/>
      <c r="M6" s="202"/>
      <c r="N6" s="202"/>
      <c r="O6" s="202"/>
      <c r="P6" s="202"/>
      <c r="Q6" s="37"/>
      <c r="R6" s="167" t="s">
        <v>4</v>
      </c>
      <c r="S6" s="168"/>
      <c r="T6" s="168"/>
      <c r="U6" s="168"/>
      <c r="V6" s="169"/>
      <c r="W6" s="71"/>
      <c r="X6" s="158" t="s">
        <v>5</v>
      </c>
      <c r="Y6" s="159"/>
      <c r="Z6" s="160"/>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30" customHeight="1" x14ac:dyDescent="0.25">
      <c r="A7" s="36"/>
      <c r="B7" s="205"/>
      <c r="C7" s="206"/>
      <c r="D7" s="202"/>
      <c r="E7" s="202"/>
      <c r="F7" s="202"/>
      <c r="G7" s="202"/>
      <c r="H7" s="202"/>
      <c r="I7" s="202"/>
      <c r="J7" s="202"/>
      <c r="K7" s="202"/>
      <c r="L7" s="202"/>
      <c r="M7" s="202"/>
      <c r="N7" s="202"/>
      <c r="O7" s="202"/>
      <c r="P7" s="202"/>
      <c r="Q7" s="37"/>
      <c r="R7" s="170"/>
      <c r="S7" s="171"/>
      <c r="T7" s="171"/>
      <c r="U7" s="171"/>
      <c r="V7" s="172"/>
      <c r="W7" s="86"/>
      <c r="X7" s="161"/>
      <c r="Y7" s="162"/>
      <c r="Z7" s="163"/>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30" customHeight="1" x14ac:dyDescent="0.25">
      <c r="A8" s="36"/>
      <c r="B8" s="205"/>
      <c r="C8" s="206"/>
      <c r="D8" s="201" t="str">
        <f ca="1">TravelTextDescription</f>
        <v>For Ms. Hailey Masiero's domestic round-trip travel from Toronto to Thunder Bay
From April 1, 2019 to May 24, 2019 (54 days, 53 nights)
For: 'Completing a University of Toronto RS Clinical Placement'</v>
      </c>
      <c r="E8" s="201"/>
      <c r="F8" s="201"/>
      <c r="G8" s="201"/>
      <c r="H8" s="201"/>
      <c r="I8" s="201"/>
      <c r="J8" s="201"/>
      <c r="K8" s="201"/>
      <c r="L8" s="201"/>
      <c r="M8" s="201"/>
      <c r="N8" s="201"/>
      <c r="O8" s="201"/>
      <c r="P8" s="201"/>
      <c r="Q8" s="37"/>
      <c r="R8" s="170"/>
      <c r="S8" s="171"/>
      <c r="T8" s="171"/>
      <c r="U8" s="171"/>
      <c r="V8" s="172"/>
      <c r="W8" s="71"/>
      <c r="X8" s="161"/>
      <c r="Y8" s="162"/>
      <c r="Z8" s="163"/>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30" customHeight="1" x14ac:dyDescent="0.25">
      <c r="A9" s="36"/>
      <c r="B9" s="207"/>
      <c r="C9" s="208"/>
      <c r="D9" s="201"/>
      <c r="E9" s="201"/>
      <c r="F9" s="201"/>
      <c r="G9" s="201"/>
      <c r="H9" s="201"/>
      <c r="I9" s="201"/>
      <c r="J9" s="201"/>
      <c r="K9" s="201"/>
      <c r="L9" s="201"/>
      <c r="M9" s="201"/>
      <c r="N9" s="201"/>
      <c r="O9" s="201"/>
      <c r="P9" s="201"/>
      <c r="Q9" s="37"/>
      <c r="R9" s="173"/>
      <c r="S9" s="174"/>
      <c r="T9" s="174"/>
      <c r="U9" s="174"/>
      <c r="V9" s="175"/>
      <c r="W9" s="71"/>
      <c r="X9" s="164"/>
      <c r="Y9" s="165"/>
      <c r="Z9" s="166"/>
      <c r="AA9" s="36"/>
      <c r="AB9" s="36"/>
      <c r="AC9" s="36"/>
      <c r="AD9" s="71"/>
      <c r="AE9" s="71"/>
      <c r="AF9" s="71"/>
      <c r="AG9" s="71"/>
      <c r="AH9" s="71"/>
      <c r="AI9" s="71"/>
      <c r="AJ9" s="71"/>
      <c r="AK9" s="71"/>
      <c r="AL9" s="71"/>
      <c r="AM9" s="71"/>
      <c r="AN9" s="71"/>
      <c r="AO9" s="71"/>
      <c r="AP9" s="71"/>
      <c r="AQ9" s="71"/>
      <c r="AR9" s="71"/>
      <c r="AS9" s="71"/>
      <c r="AT9" s="71"/>
      <c r="AU9" s="36"/>
      <c r="AV9" s="36"/>
      <c r="AW9" s="36"/>
      <c r="AX9" s="36"/>
      <c r="AY9" s="36"/>
      <c r="AZ9" s="36"/>
      <c r="BA9" s="36"/>
      <c r="BB9" s="36"/>
      <c r="BC9" s="36"/>
      <c r="BD9" s="36"/>
    </row>
    <row r="10" spans="1:56" ht="15" customHeight="1" x14ac:dyDescent="0.25">
      <c r="A10" s="36"/>
      <c r="B10" s="35"/>
      <c r="C10" s="35"/>
      <c r="D10" s="92"/>
      <c r="E10" s="92"/>
      <c r="F10" s="92"/>
      <c r="G10" s="92"/>
      <c r="H10" s="92"/>
      <c r="I10" s="92"/>
      <c r="J10" s="92"/>
      <c r="K10" s="92"/>
      <c r="L10" s="92"/>
      <c r="M10" s="92"/>
      <c r="N10" s="92"/>
      <c r="O10" s="92"/>
      <c r="P10" s="92"/>
      <c r="Q10" s="35"/>
      <c r="R10" s="35"/>
      <c r="S10" s="35"/>
      <c r="T10" s="35"/>
      <c r="U10" s="35"/>
      <c r="V10" s="35"/>
      <c r="W10" s="35"/>
      <c r="X10" s="35"/>
      <c r="Y10" s="35"/>
      <c r="Z10" s="36"/>
      <c r="AA10" s="36"/>
      <c r="AB10" s="36"/>
      <c r="AC10" s="36"/>
      <c r="AD10" s="71"/>
      <c r="AE10" s="71"/>
      <c r="AF10" s="71"/>
      <c r="AG10" s="71"/>
      <c r="AH10" s="71"/>
      <c r="AI10" s="71"/>
      <c r="AJ10" s="71"/>
      <c r="AK10" s="71"/>
      <c r="AL10" s="71"/>
      <c r="AM10" s="71"/>
      <c r="AN10" s="36"/>
      <c r="AO10" s="36"/>
      <c r="AP10" s="36"/>
      <c r="AQ10" s="36"/>
      <c r="AR10" s="36"/>
      <c r="AS10" s="36"/>
      <c r="AT10" s="36"/>
      <c r="AU10" s="36"/>
      <c r="AV10" s="36"/>
      <c r="AW10" s="36"/>
      <c r="AX10" s="36"/>
      <c r="AY10" s="36"/>
      <c r="AZ10" s="36"/>
      <c r="BA10" s="36"/>
      <c r="BB10" s="36"/>
      <c r="BC10" s="36"/>
      <c r="BD10" s="36"/>
    </row>
    <row r="11" spans="1:56" ht="18.95" customHeight="1" x14ac:dyDescent="0.25">
      <c r="A11" s="36"/>
      <c r="B11" s="250" t="str">
        <f>VLOOKUP(VALUE("01"),Table_SectionNames[],MATCH(Table_SectionNames[[#Headers],[Section Header]],Table_SectionNames[#Headers],0),FALSE)</f>
        <v>1. Payee Details</v>
      </c>
      <c r="C11" s="251"/>
      <c r="D11" s="251"/>
      <c r="E11" s="251"/>
      <c r="F11" s="252"/>
      <c r="G11" s="35"/>
      <c r="H11" s="215" t="str">
        <f>VLOOKUP(VALUE("04"),Table_SectionNames[],MATCH(Table_SectionNames[[#Headers],[Section Header]],Table_SectionNames[#Headers],0),FALSE)</f>
        <v>4. Travel Particulars</v>
      </c>
      <c r="I11" s="215"/>
      <c r="J11" s="215"/>
      <c r="K11" s="215"/>
      <c r="L11" s="215"/>
      <c r="M11" s="215"/>
      <c r="N11" s="37"/>
      <c r="O11" s="255" t="str">
        <f>VLOOKUP(VALUE("06"),Table_SectionNames[],MATCH(Table_SectionNames[[#Headers],[Section Header]],Table_SectionNames[#Headers],0),FALSE)</f>
        <v>6. Meals</v>
      </c>
      <c r="P11" s="190" t="s">
        <v>6</v>
      </c>
      <c r="Q11" s="191"/>
      <c r="R11" s="196" t="s">
        <v>7</v>
      </c>
      <c r="S11" s="197"/>
      <c r="T11" s="197"/>
      <c r="U11" s="198"/>
      <c r="V11" s="303" t="s">
        <v>8</v>
      </c>
      <c r="W11" s="304"/>
      <c r="X11" s="304"/>
      <c r="Y11" s="304"/>
      <c r="Z11" s="274" t="s">
        <v>9</v>
      </c>
      <c r="AA11" s="36"/>
      <c r="AB11" s="36"/>
      <c r="AC11" s="71"/>
      <c r="AD11" s="71"/>
      <c r="AE11" s="71"/>
      <c r="AF11" s="71"/>
      <c r="AG11" s="71"/>
      <c r="AH11" s="71"/>
      <c r="AI11" s="71"/>
      <c r="AJ11" s="71"/>
      <c r="AK11" s="71"/>
      <c r="AL11" s="71"/>
      <c r="AM11" s="71"/>
      <c r="AN11" s="36"/>
      <c r="AO11" s="36"/>
      <c r="AP11" s="36"/>
      <c r="AQ11" s="36"/>
      <c r="AR11" s="36"/>
      <c r="AS11" s="36"/>
      <c r="AT11" s="36"/>
      <c r="AU11" s="36"/>
      <c r="AV11" s="36"/>
      <c r="AW11" s="36"/>
      <c r="AX11" s="36"/>
      <c r="AY11" s="36"/>
      <c r="AZ11" s="36"/>
      <c r="BA11" s="36"/>
      <c r="BB11" s="36"/>
      <c r="BC11" s="36"/>
      <c r="BD11" s="36"/>
    </row>
    <row r="12" spans="1:56" ht="18.95" customHeight="1" x14ac:dyDescent="0.25">
      <c r="A12" s="36"/>
      <c r="B12" s="66" t="s">
        <v>10</v>
      </c>
      <c r="C12" s="224" t="s">
        <v>11</v>
      </c>
      <c r="D12" s="225"/>
      <c r="E12" s="225"/>
      <c r="F12" s="226"/>
      <c r="G12" s="35"/>
      <c r="H12" s="176" t="s">
        <v>12</v>
      </c>
      <c r="I12" s="177"/>
      <c r="J12" s="177"/>
      <c r="K12" s="177"/>
      <c r="L12" s="177"/>
      <c r="M12" s="178"/>
      <c r="N12" s="37"/>
      <c r="O12" s="256"/>
      <c r="P12" s="192"/>
      <c r="Q12" s="193"/>
      <c r="R12" s="38" t="s">
        <v>13</v>
      </c>
      <c r="S12" s="38" t="s">
        <v>14</v>
      </c>
      <c r="T12" s="196" t="s">
        <v>15</v>
      </c>
      <c r="U12" s="198"/>
      <c r="V12" s="272" t="s">
        <v>13</v>
      </c>
      <c r="W12" s="273"/>
      <c r="X12" s="153" t="s">
        <v>14</v>
      </c>
      <c r="Y12" s="152" t="s">
        <v>15</v>
      </c>
      <c r="Z12" s="275"/>
      <c r="AA12" s="36"/>
      <c r="AB12" s="36"/>
      <c r="AC12" s="71"/>
      <c r="AD12" s="71"/>
      <c r="AE12" s="71"/>
      <c r="AF12" s="71"/>
      <c r="AG12" s="71"/>
      <c r="AH12" s="71"/>
      <c r="AI12" s="71"/>
      <c r="AJ12" s="71"/>
      <c r="AK12" s="71"/>
      <c r="AL12" s="71"/>
      <c r="AM12" s="71"/>
      <c r="AN12" s="36"/>
      <c r="AO12" s="36"/>
      <c r="AP12" s="36"/>
      <c r="AQ12" s="36"/>
      <c r="AR12" s="36"/>
      <c r="AS12" s="36"/>
      <c r="AT12" s="36"/>
      <c r="AU12" s="36"/>
      <c r="AV12" s="36"/>
      <c r="AW12" s="36"/>
      <c r="AX12" s="36"/>
      <c r="AY12" s="36"/>
      <c r="AZ12" s="36"/>
      <c r="BA12" s="36"/>
      <c r="BB12" s="36"/>
      <c r="BC12" s="36"/>
      <c r="BD12" s="36"/>
    </row>
    <row r="13" spans="1:56" ht="18.95" customHeight="1" x14ac:dyDescent="0.25">
      <c r="A13" s="36"/>
      <c r="B13" s="66" t="s">
        <v>16</v>
      </c>
      <c r="C13" s="216" t="s">
        <v>17</v>
      </c>
      <c r="D13" s="241"/>
      <c r="E13" s="241"/>
      <c r="F13" s="217"/>
      <c r="G13" s="35"/>
      <c r="H13" s="244" t="s">
        <v>18</v>
      </c>
      <c r="I13" s="245"/>
      <c r="J13" s="245"/>
      <c r="K13" s="245"/>
      <c r="L13" s="245"/>
      <c r="M13" s="246"/>
      <c r="N13" s="37"/>
      <c r="O13" s="256"/>
      <c r="P13" s="199"/>
      <c r="Q13" s="200"/>
      <c r="R13" s="87"/>
      <c r="S13" s="88"/>
      <c r="T13" s="188"/>
      <c r="U13" s="189"/>
      <c r="V13" s="194">
        <f t="shared" ref="V13:V22" si="0">IF($R13&lt;MealMax_Breakfast,ROUND(ABS($R13),2),MealMax_Breakfast)</f>
        <v>0</v>
      </c>
      <c r="W13" s="195"/>
      <c r="X13" s="57">
        <f t="shared" ref="X13:X22" si="1">IF($S13&lt;MealMax_Lunch,ROUND(ABS($S13),2),MealMax_Lunch)</f>
        <v>0</v>
      </c>
      <c r="Y13" s="50">
        <f t="shared" ref="Y13:Y22" si="2">IF($T13&lt;MealMax_Dinner,ROUND(ABS($T13),2),MealMax_Dinner)</f>
        <v>0</v>
      </c>
      <c r="Z13" s="50">
        <f>SUM($V13:$Y13)</f>
        <v>0</v>
      </c>
      <c r="AA13" s="36"/>
      <c r="AB13" s="36"/>
      <c r="AC13" s="119"/>
      <c r="AD13" s="71"/>
      <c r="AE13" s="71"/>
      <c r="AF13" s="71"/>
      <c r="AG13" s="71"/>
      <c r="AH13" s="71"/>
      <c r="AI13" s="71"/>
      <c r="AJ13" s="71"/>
      <c r="AK13" s="71"/>
      <c r="AL13" s="71"/>
      <c r="AM13" s="71"/>
      <c r="AN13" s="36"/>
      <c r="AO13" s="36"/>
      <c r="AP13" s="36"/>
      <c r="AQ13" s="36"/>
      <c r="AR13" s="36"/>
      <c r="AS13" s="36"/>
      <c r="AT13" s="36"/>
      <c r="AU13" s="36"/>
      <c r="AV13" s="36"/>
      <c r="AW13" s="36"/>
      <c r="AX13" s="36"/>
      <c r="AY13" s="36"/>
      <c r="AZ13" s="36"/>
      <c r="BA13" s="36"/>
      <c r="BB13" s="36"/>
      <c r="BC13" s="36"/>
      <c r="BD13" s="36"/>
    </row>
    <row r="14" spans="1:56" ht="18.95" customHeight="1" x14ac:dyDescent="0.25">
      <c r="A14" s="36"/>
      <c r="B14" s="66" t="s">
        <v>19</v>
      </c>
      <c r="C14" s="216" t="s">
        <v>20</v>
      </c>
      <c r="D14" s="241"/>
      <c r="E14" s="241"/>
      <c r="F14" s="217"/>
      <c r="G14" s="35"/>
      <c r="H14" s="247"/>
      <c r="I14" s="248"/>
      <c r="J14" s="248"/>
      <c r="K14" s="248"/>
      <c r="L14" s="248"/>
      <c r="M14" s="249"/>
      <c r="N14" s="37"/>
      <c r="O14" s="256"/>
      <c r="P14" s="199"/>
      <c r="Q14" s="200"/>
      <c r="R14" s="89"/>
      <c r="S14" s="89"/>
      <c r="T14" s="188"/>
      <c r="U14" s="189"/>
      <c r="V14" s="194">
        <f t="shared" si="0"/>
        <v>0</v>
      </c>
      <c r="W14" s="195"/>
      <c r="X14" s="57">
        <f t="shared" si="1"/>
        <v>0</v>
      </c>
      <c r="Y14" s="50">
        <f t="shared" si="2"/>
        <v>0</v>
      </c>
      <c r="Z14" s="50">
        <f t="shared" ref="Z14:Z22" si="3">SUM($V14:$Y14)</f>
        <v>0</v>
      </c>
      <c r="AA14" s="36"/>
      <c r="AB14" s="36"/>
      <c r="AC14" s="71"/>
      <c r="AD14" s="71"/>
      <c r="AE14" s="71"/>
      <c r="AF14" s="71"/>
      <c r="AG14" s="71"/>
      <c r="AH14" s="71"/>
      <c r="AI14" s="71"/>
      <c r="AJ14" s="71"/>
      <c r="AK14" s="71"/>
      <c r="AL14" s="71"/>
      <c r="AM14" s="71"/>
      <c r="AN14" s="36"/>
      <c r="AO14" s="36"/>
      <c r="AP14" s="36"/>
      <c r="AQ14" s="36"/>
      <c r="AR14" s="36"/>
      <c r="AS14" s="36"/>
      <c r="AT14" s="36"/>
      <c r="AU14" s="36"/>
      <c r="AV14" s="36"/>
      <c r="AW14" s="36"/>
      <c r="AX14" s="36"/>
      <c r="AY14" s="36"/>
      <c r="AZ14" s="36"/>
      <c r="BA14" s="36"/>
      <c r="BB14" s="36"/>
      <c r="BC14" s="36"/>
      <c r="BD14" s="36"/>
    </row>
    <row r="15" spans="1:56" ht="18.95" customHeight="1" x14ac:dyDescent="0.25">
      <c r="A15" s="36"/>
      <c r="B15" s="66" t="s">
        <v>21</v>
      </c>
      <c r="C15" s="216" t="s">
        <v>22</v>
      </c>
      <c r="D15" s="241"/>
      <c r="E15" s="241"/>
      <c r="F15" s="217"/>
      <c r="G15" s="35"/>
      <c r="H15" s="176" t="s">
        <v>23</v>
      </c>
      <c r="I15" s="177"/>
      <c r="J15" s="177"/>
      <c r="K15" s="177"/>
      <c r="L15" s="177"/>
      <c r="M15" s="178"/>
      <c r="N15" s="37"/>
      <c r="O15" s="256"/>
      <c r="P15" s="199"/>
      <c r="Q15" s="200"/>
      <c r="R15" s="89"/>
      <c r="S15" s="89"/>
      <c r="T15" s="188"/>
      <c r="U15" s="189"/>
      <c r="V15" s="194">
        <f t="shared" si="0"/>
        <v>0</v>
      </c>
      <c r="W15" s="195"/>
      <c r="X15" s="57">
        <f t="shared" si="1"/>
        <v>0</v>
      </c>
      <c r="Y15" s="50">
        <f t="shared" si="2"/>
        <v>0</v>
      </c>
      <c r="Z15" s="50">
        <f t="shared" si="3"/>
        <v>0</v>
      </c>
      <c r="AA15" s="36"/>
      <c r="AB15" s="36"/>
      <c r="AC15" s="71"/>
      <c r="AD15" s="71"/>
      <c r="AE15" s="71"/>
      <c r="AF15" s="71"/>
      <c r="AG15" s="71"/>
      <c r="AH15" s="71"/>
      <c r="AI15" s="71"/>
      <c r="AJ15" s="71"/>
      <c r="AK15" s="71"/>
      <c r="AL15" s="71"/>
      <c r="AM15" s="71"/>
      <c r="AN15" s="36"/>
      <c r="AO15" s="36"/>
      <c r="AP15" s="36"/>
      <c r="AQ15" s="36"/>
      <c r="AR15" s="36"/>
      <c r="AS15" s="36"/>
      <c r="AT15" s="36"/>
      <c r="AU15" s="36"/>
      <c r="AV15" s="36"/>
      <c r="AW15" s="36"/>
      <c r="AX15" s="36"/>
      <c r="AY15" s="36"/>
      <c r="AZ15" s="36"/>
      <c r="BA15" s="36"/>
      <c r="BB15" s="36"/>
      <c r="BC15" s="36"/>
      <c r="BD15" s="36"/>
    </row>
    <row r="16" spans="1:56" ht="18.95" customHeight="1" x14ac:dyDescent="0.25">
      <c r="A16" s="36"/>
      <c r="B16" s="66" t="s">
        <v>24</v>
      </c>
      <c r="C16" s="216" t="s">
        <v>25</v>
      </c>
      <c r="D16" s="241"/>
      <c r="E16" s="241"/>
      <c r="F16" s="217"/>
      <c r="G16" s="35"/>
      <c r="H16" s="242" t="s">
        <v>1296</v>
      </c>
      <c r="I16" s="242"/>
      <c r="J16" s="242"/>
      <c r="K16" s="242"/>
      <c r="L16" s="242"/>
      <c r="M16" s="242"/>
      <c r="N16" s="37"/>
      <c r="O16" s="256"/>
      <c r="P16" s="199"/>
      <c r="Q16" s="200"/>
      <c r="R16" s="89"/>
      <c r="S16" s="89"/>
      <c r="T16" s="188"/>
      <c r="U16" s="189"/>
      <c r="V16" s="194">
        <f t="shared" si="0"/>
        <v>0</v>
      </c>
      <c r="W16" s="195"/>
      <c r="X16" s="57">
        <f t="shared" si="1"/>
        <v>0</v>
      </c>
      <c r="Y16" s="50">
        <f t="shared" si="2"/>
        <v>0</v>
      </c>
      <c r="Z16" s="50">
        <f t="shared" si="3"/>
        <v>0</v>
      </c>
      <c r="AA16" s="36"/>
      <c r="AB16" s="36"/>
      <c r="AC16" s="71"/>
      <c r="AD16" s="71"/>
      <c r="AE16" s="71"/>
      <c r="AF16" s="71"/>
      <c r="AG16" s="71"/>
      <c r="AH16" s="71"/>
      <c r="AI16" s="71"/>
      <c r="AJ16" s="71"/>
      <c r="AK16" s="71"/>
      <c r="AL16" s="71"/>
      <c r="AM16" s="71"/>
      <c r="AN16" s="36"/>
      <c r="AO16" s="36"/>
      <c r="AP16" s="36"/>
      <c r="AQ16" s="36"/>
      <c r="AR16" s="36"/>
      <c r="AS16" s="36"/>
      <c r="AT16" s="36"/>
      <c r="AU16" s="36"/>
      <c r="AV16" s="36"/>
      <c r="AW16" s="36"/>
      <c r="AX16" s="36"/>
      <c r="AY16" s="36"/>
      <c r="AZ16" s="36"/>
      <c r="BA16" s="36"/>
      <c r="BB16" s="36"/>
      <c r="BC16" s="36"/>
      <c r="BD16" s="36"/>
    </row>
    <row r="17" spans="1:56" ht="18.95" customHeight="1" x14ac:dyDescent="0.25">
      <c r="A17" s="36"/>
      <c r="B17" s="66" t="s">
        <v>26</v>
      </c>
      <c r="C17" s="216" t="s">
        <v>27</v>
      </c>
      <c r="D17" s="217"/>
      <c r="E17" s="258" t="s">
        <v>28</v>
      </c>
      <c r="F17" s="259"/>
      <c r="G17" s="35"/>
      <c r="H17" s="242"/>
      <c r="I17" s="242"/>
      <c r="J17" s="242"/>
      <c r="K17" s="242"/>
      <c r="L17" s="242"/>
      <c r="M17" s="242"/>
      <c r="N17" s="37"/>
      <c r="O17" s="256"/>
      <c r="P17" s="199"/>
      <c r="Q17" s="200"/>
      <c r="R17" s="89"/>
      <c r="S17" s="89"/>
      <c r="T17" s="188"/>
      <c r="U17" s="189"/>
      <c r="V17" s="194">
        <f t="shared" si="0"/>
        <v>0</v>
      </c>
      <c r="W17" s="195"/>
      <c r="X17" s="57">
        <f t="shared" si="1"/>
        <v>0</v>
      </c>
      <c r="Y17" s="50">
        <f t="shared" si="2"/>
        <v>0</v>
      </c>
      <c r="Z17" s="50">
        <f t="shared" si="3"/>
        <v>0</v>
      </c>
      <c r="AA17" s="36"/>
      <c r="AB17" s="36"/>
      <c r="AC17" s="71"/>
      <c r="AD17" s="71"/>
      <c r="AE17" s="71"/>
      <c r="AF17" s="71"/>
      <c r="AG17" s="71"/>
      <c r="AH17" s="71"/>
      <c r="AI17" s="71"/>
      <c r="AJ17" s="71"/>
      <c r="AK17" s="71"/>
      <c r="AL17" s="71"/>
      <c r="AM17" s="71"/>
      <c r="AN17" s="36"/>
      <c r="AO17" s="36"/>
      <c r="AP17" s="36"/>
      <c r="AQ17" s="36"/>
      <c r="AR17" s="36"/>
      <c r="AS17" s="36"/>
      <c r="AT17" s="36"/>
      <c r="AU17" s="36"/>
      <c r="AV17" s="36"/>
      <c r="AW17" s="36"/>
      <c r="AX17" s="36"/>
      <c r="AY17" s="36"/>
      <c r="AZ17" s="36"/>
      <c r="BA17" s="36"/>
      <c r="BB17" s="36"/>
      <c r="BC17" s="36"/>
      <c r="BD17" s="36"/>
    </row>
    <row r="18" spans="1:56" ht="18.95" customHeight="1" x14ac:dyDescent="0.25">
      <c r="A18" s="36"/>
      <c r="B18" s="66" t="s">
        <v>29</v>
      </c>
      <c r="C18" s="224" t="s">
        <v>30</v>
      </c>
      <c r="D18" s="225"/>
      <c r="E18" s="225"/>
      <c r="F18" s="226"/>
      <c r="G18" s="35"/>
      <c r="H18" s="242"/>
      <c r="I18" s="242"/>
      <c r="J18" s="242"/>
      <c r="K18" s="242"/>
      <c r="L18" s="242"/>
      <c r="M18" s="242"/>
      <c r="N18" s="37"/>
      <c r="O18" s="256"/>
      <c r="P18" s="199"/>
      <c r="Q18" s="200"/>
      <c r="R18" s="89"/>
      <c r="S18" s="89"/>
      <c r="T18" s="188"/>
      <c r="U18" s="189"/>
      <c r="V18" s="194">
        <f t="shared" si="0"/>
        <v>0</v>
      </c>
      <c r="W18" s="195"/>
      <c r="X18" s="57">
        <f t="shared" si="1"/>
        <v>0</v>
      </c>
      <c r="Y18" s="50">
        <f t="shared" si="2"/>
        <v>0</v>
      </c>
      <c r="Z18" s="50">
        <f t="shared" si="3"/>
        <v>0</v>
      </c>
      <c r="AA18" s="36"/>
      <c r="AB18" s="36"/>
      <c r="AC18" s="71"/>
      <c r="AD18" s="71"/>
      <c r="AE18" s="71"/>
      <c r="AF18" s="71"/>
      <c r="AG18" s="71"/>
      <c r="AH18" s="71"/>
      <c r="AI18" s="71"/>
      <c r="AJ18" s="71"/>
      <c r="AK18" s="71"/>
      <c r="AL18" s="71"/>
      <c r="AM18" s="71"/>
      <c r="AN18" s="36"/>
      <c r="AO18" s="36"/>
      <c r="AP18" s="36"/>
      <c r="AQ18" s="36"/>
      <c r="AR18" s="36"/>
      <c r="AS18" s="36"/>
      <c r="AT18" s="36"/>
      <c r="AU18" s="36"/>
      <c r="AV18" s="36"/>
      <c r="AW18" s="36"/>
      <c r="AX18" s="36"/>
      <c r="AY18" s="36"/>
      <c r="AZ18" s="36"/>
      <c r="BA18" s="36"/>
      <c r="BB18" s="36"/>
      <c r="BC18" s="36"/>
      <c r="BD18" s="36"/>
    </row>
    <row r="19" spans="1:56" ht="18.95" customHeight="1" x14ac:dyDescent="0.25">
      <c r="A19" s="36"/>
      <c r="B19" s="84" t="str">
        <f>HYPERLINK("mailto:"&amp;Field07B_Email,"Email")</f>
        <v>Email</v>
      </c>
      <c r="C19" s="261" t="s">
        <v>31</v>
      </c>
      <c r="D19" s="262"/>
      <c r="E19" s="262"/>
      <c r="F19" s="263"/>
      <c r="G19" s="35"/>
      <c r="H19" s="36"/>
      <c r="I19" s="36"/>
      <c r="J19" s="36"/>
      <c r="K19" s="36"/>
      <c r="L19" s="36"/>
      <c r="M19" s="36"/>
      <c r="N19" s="37"/>
      <c r="O19" s="256"/>
      <c r="P19" s="199"/>
      <c r="Q19" s="200"/>
      <c r="R19" s="89"/>
      <c r="S19" s="89"/>
      <c r="T19" s="188"/>
      <c r="U19" s="189"/>
      <c r="V19" s="194">
        <f t="shared" si="0"/>
        <v>0</v>
      </c>
      <c r="W19" s="195"/>
      <c r="X19" s="57">
        <f t="shared" si="1"/>
        <v>0</v>
      </c>
      <c r="Y19" s="50">
        <f t="shared" si="2"/>
        <v>0</v>
      </c>
      <c r="Z19" s="50">
        <f t="shared" si="3"/>
        <v>0</v>
      </c>
      <c r="AA19" s="36"/>
      <c r="AB19" s="36"/>
      <c r="AC19" s="71"/>
      <c r="AD19" s="71"/>
      <c r="AE19" s="71"/>
      <c r="AF19" s="71"/>
      <c r="AG19" s="71"/>
      <c r="AH19" s="71"/>
      <c r="AI19" s="71"/>
      <c r="AJ19" s="71"/>
      <c r="AK19" s="71"/>
      <c r="AL19" s="71"/>
      <c r="AM19" s="71"/>
      <c r="AN19" s="36"/>
      <c r="AO19" s="36"/>
      <c r="AP19" s="36"/>
      <c r="AQ19" s="36"/>
      <c r="AR19" s="36"/>
      <c r="AS19" s="36"/>
      <c r="AT19" s="36"/>
      <c r="AU19" s="36"/>
      <c r="AV19" s="36"/>
      <c r="AW19" s="36"/>
      <c r="AX19" s="36"/>
      <c r="AY19" s="36"/>
      <c r="AZ19" s="36"/>
      <c r="BA19" s="36"/>
      <c r="BB19" s="36"/>
      <c r="BC19" s="36"/>
      <c r="BD19" s="36"/>
    </row>
    <row r="20" spans="1:56" ht="18.95" customHeight="1" x14ac:dyDescent="0.25">
      <c r="A20" s="36"/>
      <c r="B20" s="66" t="s">
        <v>32</v>
      </c>
      <c r="C20" s="266"/>
      <c r="D20" s="267"/>
      <c r="E20" s="264">
        <v>7056754883</v>
      </c>
      <c r="F20" s="265"/>
      <c r="G20" s="35"/>
      <c r="H20" s="179" t="str">
        <f>VLOOKUP(VALUE("05"),Table_SectionNames[],MATCH(Table_SectionNames[[#Headers],[Section Header]],Table_SectionNames[#Headers],0),FALSE)</f>
        <v>5. Contact (if different than 'Payee')</v>
      </c>
      <c r="I20" s="180"/>
      <c r="J20" s="180"/>
      <c r="K20" s="180"/>
      <c r="L20" s="180"/>
      <c r="M20" s="181"/>
      <c r="N20" s="37"/>
      <c r="O20" s="256"/>
      <c r="P20" s="199"/>
      <c r="Q20" s="200"/>
      <c r="R20" s="89"/>
      <c r="S20" s="89"/>
      <c r="T20" s="188"/>
      <c r="U20" s="189"/>
      <c r="V20" s="194">
        <f t="shared" si="0"/>
        <v>0</v>
      </c>
      <c r="W20" s="195"/>
      <c r="X20" s="57">
        <f t="shared" si="1"/>
        <v>0</v>
      </c>
      <c r="Y20" s="50">
        <f t="shared" si="2"/>
        <v>0</v>
      </c>
      <c r="Z20" s="50">
        <f t="shared" si="3"/>
        <v>0</v>
      </c>
      <c r="AA20" s="36"/>
      <c r="AB20" s="36"/>
      <c r="AC20" s="71"/>
      <c r="AD20" s="71"/>
      <c r="AE20" s="71"/>
      <c r="AF20" s="71"/>
      <c r="AG20" s="71"/>
      <c r="AH20" s="71"/>
      <c r="AI20" s="71"/>
      <c r="AJ20" s="71"/>
      <c r="AK20" s="71"/>
      <c r="AL20" s="71"/>
      <c r="AM20" s="71"/>
      <c r="AN20" s="36"/>
      <c r="AO20" s="36"/>
      <c r="AP20" s="36"/>
      <c r="AQ20" s="36"/>
      <c r="AR20" s="36"/>
      <c r="AS20" s="36"/>
      <c r="AT20" s="36"/>
      <c r="AU20" s="36"/>
      <c r="AV20" s="36"/>
      <c r="AW20" s="36"/>
      <c r="AX20" s="36"/>
      <c r="AY20" s="36"/>
      <c r="AZ20" s="36"/>
      <c r="BA20" s="36"/>
      <c r="BB20" s="36"/>
      <c r="BC20" s="36"/>
      <c r="BD20" s="36"/>
    </row>
    <row r="21" spans="1:56" ht="18.95" customHeight="1" x14ac:dyDescent="0.25">
      <c r="A21" s="36"/>
      <c r="B21" s="66" t="s">
        <v>33</v>
      </c>
      <c r="C21" s="224" t="s">
        <v>34</v>
      </c>
      <c r="D21" s="225"/>
      <c r="E21" s="225"/>
      <c r="F21" s="226"/>
      <c r="G21" s="35"/>
      <c r="H21" s="182" t="s">
        <v>35</v>
      </c>
      <c r="I21" s="183"/>
      <c r="J21" s="187"/>
      <c r="K21" s="187"/>
      <c r="L21" s="187"/>
      <c r="M21" s="187"/>
      <c r="N21" s="37"/>
      <c r="O21" s="256"/>
      <c r="P21" s="199"/>
      <c r="Q21" s="200"/>
      <c r="R21" s="89"/>
      <c r="S21" s="89"/>
      <c r="T21" s="188"/>
      <c r="U21" s="189"/>
      <c r="V21" s="194">
        <f t="shared" si="0"/>
        <v>0</v>
      </c>
      <c r="W21" s="195"/>
      <c r="X21" s="57">
        <f t="shared" si="1"/>
        <v>0</v>
      </c>
      <c r="Y21" s="50">
        <f t="shared" si="2"/>
        <v>0</v>
      </c>
      <c r="Z21" s="50">
        <f t="shared" si="3"/>
        <v>0</v>
      </c>
      <c r="AA21" s="36"/>
      <c r="AB21" s="36"/>
      <c r="AC21" s="93"/>
      <c r="AD21" s="71"/>
      <c r="AE21" s="71"/>
      <c r="AF21" s="71"/>
      <c r="AG21" s="71"/>
      <c r="AH21" s="71"/>
      <c r="AI21" s="71"/>
      <c r="AJ21" s="71"/>
      <c r="AK21" s="71"/>
      <c r="AL21" s="71"/>
      <c r="AM21" s="71"/>
      <c r="AN21" s="36"/>
      <c r="AO21" s="36"/>
      <c r="AP21" s="36"/>
      <c r="AQ21" s="36"/>
      <c r="AR21" s="36"/>
      <c r="AS21" s="36"/>
      <c r="AT21" s="36"/>
      <c r="AU21" s="36"/>
      <c r="AV21" s="36"/>
      <c r="AW21" s="36"/>
      <c r="AX21" s="36"/>
      <c r="AY21" s="36"/>
      <c r="AZ21" s="36"/>
      <c r="BA21" s="36"/>
      <c r="BB21" s="36"/>
      <c r="BC21" s="36"/>
      <c r="BD21" s="36"/>
    </row>
    <row r="22" spans="1:56" ht="18.95" customHeight="1" x14ac:dyDescent="0.25">
      <c r="A22" s="36"/>
      <c r="B22" s="66" t="s">
        <v>36</v>
      </c>
      <c r="C22" s="224" t="s">
        <v>37</v>
      </c>
      <c r="D22" s="225"/>
      <c r="E22" s="225"/>
      <c r="F22" s="226"/>
      <c r="G22" s="35"/>
      <c r="H22" s="184" t="str">
        <f>HYPERLINK("mailto:"&amp;Field24_ContactEmail,"Email")</f>
        <v>Email</v>
      </c>
      <c r="I22" s="185"/>
      <c r="J22" s="187"/>
      <c r="K22" s="187"/>
      <c r="L22" s="187"/>
      <c r="M22" s="187"/>
      <c r="N22" s="37"/>
      <c r="O22" s="256"/>
      <c r="P22" s="199"/>
      <c r="Q22" s="200"/>
      <c r="R22" s="89"/>
      <c r="S22" s="89"/>
      <c r="T22" s="188"/>
      <c r="U22" s="189"/>
      <c r="V22" s="194">
        <f t="shared" si="0"/>
        <v>0</v>
      </c>
      <c r="W22" s="195"/>
      <c r="X22" s="57">
        <f t="shared" si="1"/>
        <v>0</v>
      </c>
      <c r="Y22" s="50">
        <f t="shared" si="2"/>
        <v>0</v>
      </c>
      <c r="Z22" s="50">
        <f t="shared" si="3"/>
        <v>0</v>
      </c>
      <c r="AA22" s="36"/>
      <c r="AB22" s="36"/>
      <c r="AC22" s="71"/>
      <c r="AD22" s="71"/>
      <c r="AE22" s="71"/>
      <c r="AF22" s="71"/>
      <c r="AG22" s="71"/>
      <c r="AH22" s="71"/>
      <c r="AI22" s="71"/>
      <c r="AJ22" s="71"/>
      <c r="AK22" s="71"/>
      <c r="AL22" s="71"/>
      <c r="AM22" s="71"/>
      <c r="AN22" s="36"/>
      <c r="AO22" s="36"/>
      <c r="AP22" s="36"/>
      <c r="AQ22" s="36"/>
      <c r="AR22" s="36"/>
      <c r="AS22" s="36"/>
      <c r="AT22" s="36"/>
      <c r="AU22" s="36"/>
      <c r="AV22" s="36"/>
      <c r="AW22" s="36"/>
      <c r="AX22" s="36"/>
      <c r="AY22" s="36"/>
      <c r="AZ22" s="36"/>
      <c r="BA22" s="36"/>
      <c r="BB22" s="36"/>
      <c r="BC22" s="36"/>
      <c r="BD22" s="36"/>
    </row>
    <row r="23" spans="1:56" ht="18.95" customHeight="1" x14ac:dyDescent="0.25">
      <c r="A23" s="36"/>
      <c r="B23" s="260" t="s">
        <v>38</v>
      </c>
      <c r="C23" s="218" t="s">
        <v>39</v>
      </c>
      <c r="D23" s="219"/>
      <c r="E23" s="219"/>
      <c r="F23" s="220"/>
      <c r="G23" s="35"/>
      <c r="H23" s="182" t="s">
        <v>40</v>
      </c>
      <c r="I23" s="183"/>
      <c r="J23" s="186"/>
      <c r="K23" s="186"/>
      <c r="L23" s="186"/>
      <c r="M23" s="186"/>
      <c r="N23" s="37"/>
      <c r="O23" s="257"/>
      <c r="P23" s="276" t="s">
        <v>41</v>
      </c>
      <c r="Q23" s="277"/>
      <c r="R23" s="277"/>
      <c r="S23" s="277"/>
      <c r="T23" s="277"/>
      <c r="U23" s="277"/>
      <c r="V23" s="277"/>
      <c r="W23" s="277"/>
      <c r="X23" s="277"/>
      <c r="Y23" s="278"/>
      <c r="Z23" s="51">
        <f>SUM($Z$13:$Z$22)</f>
        <v>0</v>
      </c>
      <c r="AA23" s="36"/>
      <c r="AB23" s="36"/>
      <c r="AC23" s="71"/>
      <c r="AD23" s="71"/>
      <c r="AE23" s="71"/>
      <c r="AF23" s="71"/>
      <c r="AG23" s="71"/>
      <c r="AH23" s="71"/>
      <c r="AI23" s="71"/>
      <c r="AJ23" s="71"/>
      <c r="AK23" s="71"/>
      <c r="AL23" s="71"/>
      <c r="AM23" s="71"/>
      <c r="AN23" s="36"/>
      <c r="AO23" s="36"/>
      <c r="AP23" s="36"/>
      <c r="AQ23" s="36"/>
      <c r="AR23" s="36"/>
      <c r="AS23" s="36"/>
      <c r="AT23" s="36"/>
      <c r="AU23" s="36"/>
      <c r="AV23" s="36"/>
      <c r="AW23" s="36"/>
      <c r="AX23" s="36"/>
      <c r="AY23" s="36"/>
      <c r="AZ23" s="36"/>
      <c r="BA23" s="36"/>
      <c r="BB23" s="36"/>
      <c r="BC23" s="36"/>
      <c r="BD23" s="36"/>
    </row>
    <row r="24" spans="1:56" ht="18.95" customHeight="1" x14ac:dyDescent="0.25">
      <c r="A24" s="36"/>
      <c r="B24" s="260"/>
      <c r="C24" s="221"/>
      <c r="D24" s="222"/>
      <c r="E24" s="222"/>
      <c r="F24" s="223"/>
      <c r="G24" s="36"/>
      <c r="H24" s="37"/>
      <c r="I24" s="37"/>
      <c r="J24" s="37"/>
      <c r="K24" s="37"/>
      <c r="L24" s="37"/>
      <c r="M24" s="37"/>
      <c r="N24" s="37"/>
      <c r="O24" s="37"/>
      <c r="P24" s="37"/>
      <c r="Q24" s="37"/>
      <c r="R24" s="37"/>
      <c r="S24" s="37"/>
      <c r="T24" s="37"/>
      <c r="U24" s="37"/>
      <c r="V24" s="37"/>
      <c r="W24" s="37"/>
      <c r="X24" s="37"/>
      <c r="Y24" s="37"/>
      <c r="Z24" s="37"/>
      <c r="AA24" s="36"/>
      <c r="AB24" s="36"/>
      <c r="AC24" s="71"/>
      <c r="AD24" s="71"/>
      <c r="AE24" s="71"/>
      <c r="AF24" s="71"/>
      <c r="AG24" s="71"/>
      <c r="AH24" s="71"/>
      <c r="AI24" s="71"/>
      <c r="AJ24" s="71"/>
      <c r="AK24" s="71"/>
      <c r="AL24" s="71"/>
      <c r="AM24" s="71"/>
      <c r="AN24" s="36"/>
      <c r="AO24" s="36"/>
      <c r="AP24" s="36"/>
      <c r="AQ24" s="36"/>
      <c r="AR24" s="36"/>
      <c r="AS24" s="36"/>
      <c r="AT24" s="36"/>
      <c r="AU24" s="36"/>
      <c r="AV24" s="36"/>
      <c r="AW24" s="36"/>
      <c r="AX24" s="36"/>
      <c r="AY24" s="36"/>
      <c r="AZ24" s="36"/>
      <c r="BA24" s="36"/>
      <c r="BB24" s="36"/>
      <c r="BC24" s="36"/>
      <c r="BD24" s="36"/>
    </row>
    <row r="25" spans="1:56" ht="18.95" customHeight="1" x14ac:dyDescent="0.25">
      <c r="A25" s="36"/>
      <c r="B25" s="36"/>
      <c r="C25" s="36"/>
      <c r="D25" s="36"/>
      <c r="E25" s="36"/>
      <c r="F25" s="36"/>
      <c r="G25" s="36"/>
      <c r="H25" s="240" t="str">
        <f>VLOOKUP(VALUE("07"),Table_SectionNames[],MATCH(Table_SectionNames[[#Headers],[Section Header]],Table_SectionNames[#Headers],0),FALSE)</f>
        <v>7. Other Expenses</v>
      </c>
      <c r="I25" s="190" t="s">
        <v>6</v>
      </c>
      <c r="J25" s="191"/>
      <c r="K25" s="190" t="s">
        <v>42</v>
      </c>
      <c r="L25" s="191"/>
      <c r="M25" s="190" t="s">
        <v>12</v>
      </c>
      <c r="N25" s="253"/>
      <c r="O25" s="253"/>
      <c r="P25" s="253"/>
      <c r="Q25" s="191"/>
      <c r="R25" s="190" t="s">
        <v>43</v>
      </c>
      <c r="S25" s="191"/>
      <c r="T25" s="190" t="s">
        <v>44</v>
      </c>
      <c r="U25" s="253"/>
      <c r="V25" s="253"/>
      <c r="W25" s="191"/>
      <c r="X25" s="334" t="s">
        <v>45</v>
      </c>
      <c r="Y25" s="336" t="str">
        <f>"KMs"&amp;CHAR(10)&amp;
"($"&amp;IFERROR(VLOOKUP(Field09_PayeeType,Table_PayeeType[],2,FALSE),DefaultMileageRate)&amp;"/km)"</f>
        <v>KMs
($0.155/km)</v>
      </c>
      <c r="Z25" s="274" t="s">
        <v>9</v>
      </c>
      <c r="AA25" s="36"/>
      <c r="AB25" s="36"/>
      <c r="AC25" s="71"/>
      <c r="AD25" s="71"/>
      <c r="AE25" s="71"/>
      <c r="AF25" s="71"/>
      <c r="AG25" s="71"/>
      <c r="AH25" s="71"/>
      <c r="AI25" s="71"/>
      <c r="AJ25" s="71"/>
      <c r="AK25" s="71"/>
      <c r="AL25" s="71"/>
      <c r="AM25" s="71"/>
      <c r="AN25" s="36"/>
      <c r="AO25" s="36"/>
      <c r="AP25" s="36"/>
      <c r="AQ25" s="36"/>
      <c r="AR25" s="36"/>
      <c r="AS25" s="36"/>
      <c r="AT25" s="36"/>
      <c r="AU25" s="36"/>
      <c r="AV25" s="36"/>
      <c r="AW25" s="36"/>
      <c r="AX25" s="36"/>
      <c r="AY25" s="36"/>
      <c r="AZ25" s="36"/>
      <c r="BA25" s="36"/>
      <c r="BB25" s="36"/>
      <c r="BC25" s="36"/>
      <c r="BD25" s="36"/>
    </row>
    <row r="26" spans="1:56" ht="18.95" customHeight="1" x14ac:dyDescent="0.25">
      <c r="A26" s="36"/>
      <c r="B26" s="250" t="str">
        <f>VLOOKUP(VALUE("02"),Table_SectionNames[],MATCH(Table_SectionNames[[#Headers],[Section Header]],Table_SectionNames[#Headers],0),FALSE)</f>
        <v>2. Travel Details</v>
      </c>
      <c r="C26" s="251"/>
      <c r="D26" s="251"/>
      <c r="E26" s="251"/>
      <c r="F26" s="252"/>
      <c r="G26" s="36"/>
      <c r="H26" s="240"/>
      <c r="I26" s="192"/>
      <c r="J26" s="193"/>
      <c r="K26" s="192"/>
      <c r="L26" s="193"/>
      <c r="M26" s="192"/>
      <c r="N26" s="254"/>
      <c r="O26" s="254"/>
      <c r="P26" s="254"/>
      <c r="Q26" s="193"/>
      <c r="R26" s="192"/>
      <c r="S26" s="193"/>
      <c r="T26" s="192"/>
      <c r="U26" s="254"/>
      <c r="V26" s="254"/>
      <c r="W26" s="193"/>
      <c r="X26" s="335"/>
      <c r="Y26" s="337"/>
      <c r="Z26" s="275"/>
      <c r="AA26" s="39"/>
      <c r="AB26" s="36"/>
      <c r="AC26" s="71"/>
      <c r="AD26" s="151"/>
      <c r="AE26" s="71"/>
      <c r="AF26" s="71"/>
      <c r="AG26" s="71"/>
      <c r="AH26" s="71"/>
      <c r="AI26" s="71"/>
      <c r="AJ26" s="71"/>
      <c r="AK26" s="71"/>
      <c r="AL26" s="71"/>
      <c r="AM26" s="71"/>
      <c r="AN26" s="36"/>
      <c r="AO26" s="36"/>
      <c r="AP26" s="36"/>
      <c r="AQ26" s="36"/>
      <c r="AR26" s="36"/>
      <c r="AS26" s="36"/>
      <c r="AT26" s="36"/>
      <c r="AU26" s="36"/>
      <c r="AV26" s="36"/>
      <c r="AW26" s="36"/>
      <c r="AX26" s="36"/>
      <c r="AY26" s="36"/>
      <c r="AZ26" s="36"/>
      <c r="BA26" s="36"/>
      <c r="BB26" s="36"/>
      <c r="BC26" s="36"/>
      <c r="BD26" s="36"/>
    </row>
    <row r="27" spans="1:56" ht="18.95" customHeight="1" x14ac:dyDescent="0.25">
      <c r="A27" s="36"/>
      <c r="B27" s="66" t="s">
        <v>46</v>
      </c>
      <c r="C27" s="233" t="s">
        <v>47</v>
      </c>
      <c r="D27" s="234"/>
      <c r="E27" s="234"/>
      <c r="F27" s="235"/>
      <c r="G27" s="36"/>
      <c r="H27" s="240"/>
      <c r="I27" s="199">
        <v>43556</v>
      </c>
      <c r="J27" s="200"/>
      <c r="K27" s="236" t="s">
        <v>48</v>
      </c>
      <c r="L27" s="238"/>
      <c r="M27" s="236" t="s">
        <v>49</v>
      </c>
      <c r="N27" s="237"/>
      <c r="O27" s="237"/>
      <c r="P27" s="237"/>
      <c r="Q27" s="238"/>
      <c r="R27" s="236" t="s">
        <v>47</v>
      </c>
      <c r="S27" s="238"/>
      <c r="T27" s="236" t="s">
        <v>50</v>
      </c>
      <c r="U27" s="237"/>
      <c r="V27" s="237"/>
      <c r="W27" s="238"/>
      <c r="X27" s="90">
        <v>400</v>
      </c>
      <c r="Y27" s="121">
        <v>2810</v>
      </c>
      <c r="Z27" s="54">
        <f>IF(IFERROR(VLOOKUP($K27,Table_Expenses[],MATCH(Table_Expenses[[#Headers],[Receipt or Mileage]],Table_Expenses[#Headers],0),FALSE),"Receipt")="Receipt",ROUND($X27,2),ROUND($Y27*IFERROR(VLOOKUP(Field09_PayeeType,Table_PayeeType[],MATCH(Table_PayeeType[[#Headers],[Mileage Reimbursement Rate]],Table_PayeeType[#Headers],0),FALSE),DefaultMileageRate),2))</f>
        <v>400</v>
      </c>
      <c r="AA27" s="39"/>
      <c r="AB27" s="36"/>
      <c r="AC27" s="71"/>
      <c r="AD27" s="36"/>
      <c r="AE27" s="71"/>
      <c r="AF27" s="71"/>
      <c r="AG27" s="71"/>
      <c r="AH27" s="71"/>
      <c r="AI27" s="71"/>
      <c r="AJ27" s="71"/>
      <c r="AK27" s="71"/>
      <c r="AL27" s="71"/>
      <c r="AM27" s="71"/>
      <c r="AN27" s="36"/>
      <c r="AO27" s="36"/>
      <c r="AP27" s="36"/>
      <c r="AQ27" s="36"/>
      <c r="AR27" s="36"/>
      <c r="AS27" s="36"/>
      <c r="AT27" s="36"/>
      <c r="AU27" s="36"/>
      <c r="AV27" s="36"/>
      <c r="AW27" s="36"/>
      <c r="AX27" s="36"/>
      <c r="AY27" s="36"/>
      <c r="AZ27" s="36"/>
      <c r="BA27" s="36"/>
      <c r="BB27" s="36"/>
      <c r="BC27" s="36"/>
      <c r="BD27" s="36"/>
    </row>
    <row r="28" spans="1:56" ht="18.95" customHeight="1" x14ac:dyDescent="0.25">
      <c r="A28" s="36"/>
      <c r="B28" s="66" t="s">
        <v>51</v>
      </c>
      <c r="C28" s="230" t="s">
        <v>50</v>
      </c>
      <c r="D28" s="231"/>
      <c r="E28" s="231"/>
      <c r="F28" s="232"/>
      <c r="G28" s="36"/>
      <c r="H28" s="240"/>
      <c r="I28" s="199">
        <v>43556</v>
      </c>
      <c r="J28" s="200"/>
      <c r="K28" s="236" t="s">
        <v>52</v>
      </c>
      <c r="L28" s="238"/>
      <c r="M28" s="236" t="s">
        <v>53</v>
      </c>
      <c r="N28" s="237"/>
      <c r="O28" s="237"/>
      <c r="P28" s="237"/>
      <c r="Q28" s="238"/>
      <c r="R28" s="236"/>
      <c r="S28" s="238"/>
      <c r="T28" s="236"/>
      <c r="U28" s="237"/>
      <c r="V28" s="237"/>
      <c r="W28" s="238"/>
      <c r="X28" s="90">
        <v>128</v>
      </c>
      <c r="Y28" s="121"/>
      <c r="Z28" s="54">
        <f>IF(IFERROR(VLOOKUP($K28,Table_Expenses[],MATCH(Table_Expenses[[#Headers],[Receipt or Mileage]],Table_Expenses[#Headers],0),FALSE),"Receipt")="Receipt",ROUND($X28,2),ROUND($Y28*IFERROR(VLOOKUP(Field09_PayeeType,Table_PayeeType[],MATCH(Table_PayeeType[[#Headers],[Mileage Reimbursement Rate]],Table_PayeeType[#Headers],0),FALSE),DefaultMileageRate),2))</f>
        <v>128</v>
      </c>
      <c r="AA28" s="39"/>
      <c r="AB28" s="36"/>
      <c r="AC28" s="71"/>
      <c r="AD28" s="36"/>
      <c r="AE28" s="71"/>
      <c r="AF28" s="71"/>
      <c r="AG28" s="71"/>
      <c r="AH28" s="71"/>
      <c r="AI28" s="71"/>
      <c r="AJ28" s="71"/>
      <c r="AK28" s="71"/>
      <c r="AL28" s="71"/>
      <c r="AM28" s="71"/>
      <c r="AN28" s="36"/>
      <c r="AO28" s="36"/>
      <c r="AP28" s="36"/>
      <c r="AQ28" s="36"/>
      <c r="AR28" s="36"/>
      <c r="AS28" s="36"/>
      <c r="AT28" s="36"/>
      <c r="AU28" s="36"/>
      <c r="AV28" s="36"/>
      <c r="AW28" s="36"/>
      <c r="AX28" s="36"/>
      <c r="AY28" s="36"/>
      <c r="AZ28" s="36"/>
      <c r="BA28" s="36"/>
      <c r="BB28" s="36"/>
      <c r="BC28" s="36"/>
      <c r="BD28" s="36"/>
    </row>
    <row r="29" spans="1:56" ht="18.95" customHeight="1" x14ac:dyDescent="0.25">
      <c r="A29" s="36"/>
      <c r="B29" s="66" t="s">
        <v>54</v>
      </c>
      <c r="C29" s="230" t="s">
        <v>55</v>
      </c>
      <c r="D29" s="231"/>
      <c r="E29" s="231"/>
      <c r="F29" s="232"/>
      <c r="G29" s="36"/>
      <c r="H29" s="240"/>
      <c r="I29" s="199">
        <v>43585</v>
      </c>
      <c r="J29" s="200"/>
      <c r="K29" s="236" t="s">
        <v>56</v>
      </c>
      <c r="L29" s="238"/>
      <c r="M29" s="236" t="s">
        <v>57</v>
      </c>
      <c r="N29" s="237"/>
      <c r="O29" s="237"/>
      <c r="P29" s="237"/>
      <c r="Q29" s="238"/>
      <c r="R29" s="236" t="s">
        <v>58</v>
      </c>
      <c r="S29" s="238"/>
      <c r="T29" s="236" t="s">
        <v>59</v>
      </c>
      <c r="U29" s="237"/>
      <c r="V29" s="237"/>
      <c r="W29" s="238"/>
      <c r="X29" s="90"/>
      <c r="Y29" s="121">
        <v>156</v>
      </c>
      <c r="Z29" s="54">
        <f>IF(IFERROR(VLOOKUP($K29,Table_Expenses[],MATCH(Table_Expenses[[#Headers],[Receipt or Mileage]],Table_Expenses[#Headers],0),FALSE),"Receipt")="Receipt",ROUND($X29,2),ROUND($Y29*IFERROR(VLOOKUP(Field09_PayeeType,Table_PayeeType[],MATCH(Table_PayeeType[[#Headers],[Mileage Reimbursement Rate]],Table_PayeeType[#Headers],0),FALSE),DefaultMileageRate),2))</f>
        <v>24.18</v>
      </c>
      <c r="AA29" s="39"/>
      <c r="AB29" s="36"/>
      <c r="AC29" s="71"/>
      <c r="AD29" s="36"/>
      <c r="AE29" s="71"/>
      <c r="AF29" s="71"/>
      <c r="AG29" s="71"/>
      <c r="AH29" s="71"/>
      <c r="AI29" s="71"/>
      <c r="AJ29" s="71"/>
      <c r="AK29" s="71"/>
      <c r="AL29" s="71"/>
      <c r="AM29" s="71"/>
      <c r="AN29" s="36"/>
      <c r="AO29" s="36"/>
      <c r="AP29" s="36"/>
      <c r="AQ29" s="36"/>
      <c r="AR29" s="36"/>
      <c r="AS29" s="36"/>
      <c r="AT29" s="36"/>
      <c r="AU29" s="36"/>
      <c r="AV29" s="36"/>
      <c r="AW29" s="36"/>
      <c r="AX29" s="36"/>
      <c r="AY29" s="36"/>
      <c r="AZ29" s="36"/>
      <c r="BA29" s="36"/>
      <c r="BB29" s="36"/>
      <c r="BC29" s="36"/>
      <c r="BD29" s="36"/>
    </row>
    <row r="30" spans="1:56" ht="18.95" customHeight="1" x14ac:dyDescent="0.25">
      <c r="A30" s="36"/>
      <c r="B30" s="66" t="s">
        <v>60</v>
      </c>
      <c r="C30" s="230" t="s">
        <v>61</v>
      </c>
      <c r="D30" s="231"/>
      <c r="E30" s="231"/>
      <c r="F30" s="232"/>
      <c r="G30" s="36"/>
      <c r="H30" s="240"/>
      <c r="I30" s="199">
        <v>43609</v>
      </c>
      <c r="J30" s="200"/>
      <c r="K30" s="236" t="s">
        <v>52</v>
      </c>
      <c r="L30" s="238"/>
      <c r="M30" s="236" t="s">
        <v>53</v>
      </c>
      <c r="N30" s="237"/>
      <c r="O30" s="237"/>
      <c r="P30" s="237"/>
      <c r="Q30" s="238"/>
      <c r="R30" s="236"/>
      <c r="S30" s="238"/>
      <c r="T30" s="236"/>
      <c r="U30" s="237"/>
      <c r="V30" s="237"/>
      <c r="W30" s="238"/>
      <c r="X30" s="90">
        <v>128</v>
      </c>
      <c r="Y30" s="121"/>
      <c r="Z30" s="54">
        <f>IF(IFERROR(VLOOKUP($K30,Table_Expenses[],MATCH(Table_Expenses[[#Headers],[Receipt or Mileage]],Table_Expenses[#Headers],0),FALSE),"Receipt")="Receipt",ROUND($X30,2),ROUND($Y30*IFERROR(VLOOKUP(Field09_PayeeType,Table_PayeeType[],MATCH(Table_PayeeType[[#Headers],[Mileage Reimbursement Rate]],Table_PayeeType[#Headers],0),FALSE),DefaultMileageRate),2))</f>
        <v>128</v>
      </c>
      <c r="AA30" s="39"/>
      <c r="AB30" s="36"/>
      <c r="AC30" s="71"/>
      <c r="AD30" s="36"/>
      <c r="AE30" s="71"/>
      <c r="AF30" s="71"/>
      <c r="AG30" s="71"/>
      <c r="AH30" s="71"/>
      <c r="AI30" s="71"/>
      <c r="AJ30" s="71"/>
      <c r="AK30" s="71"/>
      <c r="AL30" s="71"/>
      <c r="AM30" s="71"/>
      <c r="AN30" s="36"/>
      <c r="AO30" s="36"/>
      <c r="AP30" s="36"/>
      <c r="AQ30" s="36"/>
      <c r="AR30" s="36"/>
      <c r="AS30" s="36"/>
      <c r="AT30" s="36"/>
      <c r="AU30" s="36"/>
      <c r="AV30" s="36"/>
      <c r="AW30" s="36"/>
      <c r="AX30" s="36"/>
      <c r="AY30" s="36"/>
      <c r="AZ30" s="36"/>
      <c r="BA30" s="36"/>
      <c r="BB30" s="36"/>
      <c r="BC30" s="36"/>
      <c r="BD30" s="36"/>
    </row>
    <row r="31" spans="1:56" ht="18.95" customHeight="1" x14ac:dyDescent="0.25">
      <c r="A31" s="36"/>
      <c r="B31" s="66" t="s">
        <v>62</v>
      </c>
      <c r="C31" s="227">
        <v>43556</v>
      </c>
      <c r="D31" s="228"/>
      <c r="E31" s="228"/>
      <c r="F31" s="229"/>
      <c r="G31" s="36"/>
      <c r="H31" s="240"/>
      <c r="I31" s="199"/>
      <c r="J31" s="200"/>
      <c r="K31" s="236"/>
      <c r="L31" s="238"/>
      <c r="M31" s="236"/>
      <c r="N31" s="237"/>
      <c r="O31" s="237"/>
      <c r="P31" s="237"/>
      <c r="Q31" s="238"/>
      <c r="R31" s="236"/>
      <c r="S31" s="238"/>
      <c r="T31" s="236"/>
      <c r="U31" s="237"/>
      <c r="V31" s="237"/>
      <c r="W31" s="238"/>
      <c r="X31" s="90"/>
      <c r="Y31" s="121"/>
      <c r="Z31" s="54">
        <f>IF(IFERROR(VLOOKUP($K31,Table_Expenses[],MATCH(Table_Expenses[[#Headers],[Receipt or Mileage]],Table_Expenses[#Headers],0),FALSE),"Receipt")="Receipt",ROUND($X31,2),ROUND($Y31*IFERROR(VLOOKUP(Field09_PayeeType,Table_PayeeType[],MATCH(Table_PayeeType[[#Headers],[Mileage Reimbursement Rate]],Table_PayeeType[#Headers],0),FALSE),DefaultMileageRate),2))</f>
        <v>0</v>
      </c>
      <c r="AA31" s="39"/>
      <c r="AB31" s="36"/>
      <c r="AC31" s="71"/>
      <c r="AD31" s="36"/>
      <c r="AE31" s="71"/>
      <c r="AF31" s="71"/>
      <c r="AG31" s="71"/>
      <c r="AH31" s="71"/>
      <c r="AI31" s="71"/>
      <c r="AJ31" s="71"/>
      <c r="AK31" s="71"/>
      <c r="AL31" s="71"/>
      <c r="AM31" s="71"/>
      <c r="AN31" s="36"/>
      <c r="AO31" s="36"/>
      <c r="AP31" s="36"/>
      <c r="AQ31" s="36"/>
      <c r="AR31" s="36"/>
      <c r="AS31" s="36"/>
      <c r="AT31" s="36"/>
      <c r="AU31" s="36"/>
      <c r="AV31" s="36"/>
      <c r="AW31" s="36"/>
      <c r="AX31" s="36"/>
      <c r="AY31" s="36"/>
      <c r="AZ31" s="36"/>
      <c r="BA31" s="36"/>
      <c r="BB31" s="36"/>
      <c r="BC31" s="36"/>
      <c r="BD31" s="36"/>
    </row>
    <row r="32" spans="1:56" ht="18.95" customHeight="1" x14ac:dyDescent="0.25">
      <c r="A32" s="36"/>
      <c r="B32" s="66" t="s">
        <v>63</v>
      </c>
      <c r="C32" s="227">
        <v>43609</v>
      </c>
      <c r="D32" s="228"/>
      <c r="E32" s="228"/>
      <c r="F32" s="229"/>
      <c r="G32" s="36"/>
      <c r="H32" s="240"/>
      <c r="I32" s="199"/>
      <c r="J32" s="200"/>
      <c r="K32" s="236"/>
      <c r="L32" s="238"/>
      <c r="M32" s="236"/>
      <c r="N32" s="237"/>
      <c r="O32" s="237"/>
      <c r="P32" s="237"/>
      <c r="Q32" s="238"/>
      <c r="R32" s="236"/>
      <c r="S32" s="238"/>
      <c r="T32" s="236"/>
      <c r="U32" s="237"/>
      <c r="V32" s="237"/>
      <c r="W32" s="238"/>
      <c r="X32" s="90"/>
      <c r="Y32" s="121"/>
      <c r="Z32" s="54">
        <f>IF(IFERROR(VLOOKUP($K32,Table_Expenses[],MATCH(Table_Expenses[[#Headers],[Receipt or Mileage]],Table_Expenses[#Headers],0),FALSE),"Receipt")="Receipt",ROUND($X32,2),ROUND($Y32*IFERROR(VLOOKUP(Field09_PayeeType,Table_PayeeType[],MATCH(Table_PayeeType[[#Headers],[Mileage Reimbursement Rate]],Table_PayeeType[#Headers],0),FALSE),DefaultMileageRate),2))</f>
        <v>0</v>
      </c>
      <c r="AA32" s="39"/>
      <c r="AB32" s="36"/>
      <c r="AC32" s="71"/>
      <c r="AD32" s="36"/>
      <c r="AE32" s="71"/>
      <c r="AF32" s="71"/>
      <c r="AG32" s="71"/>
      <c r="AH32" s="71"/>
      <c r="AI32" s="71"/>
      <c r="AJ32" s="71"/>
      <c r="AK32" s="71"/>
      <c r="AL32" s="71"/>
      <c r="AM32" s="71"/>
      <c r="AN32" s="36"/>
      <c r="AO32" s="36"/>
      <c r="AP32" s="36"/>
      <c r="AQ32" s="36"/>
      <c r="AR32" s="36"/>
      <c r="AS32" s="36"/>
      <c r="AT32" s="36"/>
      <c r="AU32" s="36"/>
      <c r="AV32" s="36"/>
      <c r="AW32" s="36"/>
      <c r="AX32" s="36"/>
      <c r="AY32" s="36"/>
      <c r="AZ32" s="36"/>
      <c r="BA32" s="36"/>
      <c r="BB32" s="36"/>
      <c r="BC32" s="36"/>
      <c r="BD32" s="36"/>
    </row>
    <row r="33" spans="1:56" ht="18.95" customHeight="1" x14ac:dyDescent="0.25">
      <c r="A33" s="36"/>
      <c r="B33" s="36"/>
      <c r="C33" s="36"/>
      <c r="D33" s="36"/>
      <c r="E33" s="36"/>
      <c r="F33" s="36"/>
      <c r="G33" s="36"/>
      <c r="H33" s="240"/>
      <c r="I33" s="199"/>
      <c r="J33" s="200"/>
      <c r="K33" s="236"/>
      <c r="L33" s="238"/>
      <c r="M33" s="236"/>
      <c r="N33" s="237"/>
      <c r="O33" s="237"/>
      <c r="P33" s="237"/>
      <c r="Q33" s="238"/>
      <c r="R33" s="236"/>
      <c r="S33" s="238"/>
      <c r="T33" s="236"/>
      <c r="U33" s="237"/>
      <c r="V33" s="237"/>
      <c r="W33" s="238"/>
      <c r="X33" s="90"/>
      <c r="Y33" s="121"/>
      <c r="Z33" s="54">
        <f>IF(IFERROR(VLOOKUP($K33,Table_Expenses[],MATCH(Table_Expenses[[#Headers],[Receipt or Mileage]],Table_Expenses[#Headers],0),FALSE),"Receipt")="Receipt",ROUND($X33,2),ROUND($Y33*IFERROR(VLOOKUP(Field09_PayeeType,Table_PayeeType[],MATCH(Table_PayeeType[[#Headers],[Mileage Reimbursement Rate]],Table_PayeeType[#Headers],0),FALSE),DefaultMileageRate),2))</f>
        <v>0</v>
      </c>
      <c r="AA33" s="39"/>
      <c r="AB33" s="36"/>
      <c r="AC33" s="71"/>
      <c r="AD33" s="36"/>
      <c r="AE33" s="71"/>
      <c r="AF33" s="71"/>
      <c r="AG33" s="71"/>
      <c r="AH33" s="71"/>
      <c r="AI33" s="71"/>
      <c r="AJ33" s="71"/>
      <c r="AK33" s="71"/>
      <c r="AL33" s="71"/>
      <c r="AM33" s="71"/>
      <c r="AN33" s="71"/>
      <c r="AO33" s="71"/>
      <c r="AP33" s="71"/>
      <c r="AQ33" s="71"/>
      <c r="AR33" s="71"/>
      <c r="AS33" s="71"/>
      <c r="AT33" s="71"/>
      <c r="AU33" s="36"/>
      <c r="AV33" s="36"/>
      <c r="AW33" s="36"/>
      <c r="AX33" s="36"/>
      <c r="AY33" s="36"/>
      <c r="AZ33" s="36"/>
      <c r="BA33" s="36"/>
      <c r="BB33" s="36"/>
      <c r="BC33" s="36"/>
      <c r="BD33" s="36"/>
    </row>
    <row r="34" spans="1:56" ht="18.95" customHeight="1" x14ac:dyDescent="0.25">
      <c r="A34" s="36"/>
      <c r="B34" s="250" t="str">
        <f>VLOOKUP(VALUE("03"),Table_SectionNames[],MATCH(Table_SectionNames[[#Headers],[Section Header]],Table_SectionNames[#Headers],0),FALSE)</f>
        <v>3. Claim Details</v>
      </c>
      <c r="C34" s="332"/>
      <c r="D34" s="332"/>
      <c r="E34" s="332"/>
      <c r="F34" s="333"/>
      <c r="G34" s="36"/>
      <c r="H34" s="240"/>
      <c r="I34" s="199"/>
      <c r="J34" s="200"/>
      <c r="K34" s="236"/>
      <c r="L34" s="238"/>
      <c r="M34" s="236"/>
      <c r="N34" s="237"/>
      <c r="O34" s="237"/>
      <c r="P34" s="237"/>
      <c r="Q34" s="238"/>
      <c r="R34" s="236"/>
      <c r="S34" s="238"/>
      <c r="T34" s="236"/>
      <c r="U34" s="237"/>
      <c r="V34" s="237"/>
      <c r="W34" s="238"/>
      <c r="X34" s="90"/>
      <c r="Y34" s="121"/>
      <c r="Z34" s="54">
        <f>IF(IFERROR(VLOOKUP($K34,Table_Expenses[],MATCH(Table_Expenses[[#Headers],[Receipt or Mileage]],Table_Expenses[#Headers],0),FALSE),"Receipt")="Receipt",ROUND($X34,2),ROUND($Y34*IFERROR(VLOOKUP(Field09_PayeeType,Table_PayeeType[],MATCH(Table_PayeeType[[#Headers],[Mileage Reimbursement Rate]],Table_PayeeType[#Headers],0),FALSE),DefaultMileageRate),2))</f>
        <v>0</v>
      </c>
      <c r="AA34" s="39"/>
      <c r="AB34" s="36"/>
      <c r="AC34" s="71"/>
      <c r="AD34" s="36"/>
      <c r="AE34" s="71"/>
      <c r="AF34" s="71"/>
      <c r="AG34" s="71"/>
      <c r="AH34" s="71"/>
      <c r="AI34" s="71"/>
      <c r="AJ34" s="71"/>
      <c r="AK34" s="71"/>
      <c r="AL34" s="71"/>
      <c r="AM34" s="71"/>
      <c r="AN34" s="71"/>
      <c r="AO34" s="71"/>
      <c r="AP34" s="71"/>
      <c r="AQ34" s="71"/>
      <c r="AR34" s="71"/>
      <c r="AS34" s="71"/>
      <c r="AT34" s="71"/>
      <c r="AU34" s="36"/>
      <c r="AV34" s="36"/>
      <c r="AW34" s="36"/>
      <c r="AX34" s="36"/>
      <c r="AY34" s="36"/>
      <c r="AZ34" s="36"/>
      <c r="BA34" s="36"/>
      <c r="BB34" s="36"/>
      <c r="BC34" s="36"/>
      <c r="BD34" s="36"/>
    </row>
    <row r="35" spans="1:56" ht="18.95" customHeight="1" x14ac:dyDescent="0.25">
      <c r="A35" s="36"/>
      <c r="B35" s="67" t="s">
        <v>64</v>
      </c>
      <c r="C35" s="187" t="s">
        <v>65</v>
      </c>
      <c r="D35" s="187"/>
      <c r="E35" s="187"/>
      <c r="F35" s="187"/>
      <c r="G35" s="35"/>
      <c r="H35" s="240"/>
      <c r="I35" s="199"/>
      <c r="J35" s="200"/>
      <c r="K35" s="236"/>
      <c r="L35" s="238"/>
      <c r="M35" s="236"/>
      <c r="N35" s="237"/>
      <c r="O35" s="237"/>
      <c r="P35" s="237"/>
      <c r="Q35" s="238"/>
      <c r="R35" s="236"/>
      <c r="S35" s="238"/>
      <c r="T35" s="236"/>
      <c r="U35" s="237"/>
      <c r="V35" s="237"/>
      <c r="W35" s="238"/>
      <c r="X35" s="90"/>
      <c r="Y35" s="121"/>
      <c r="Z35" s="54">
        <f>IF(IFERROR(VLOOKUP($K35,Table_Expenses[],MATCH(Table_Expenses[[#Headers],[Receipt or Mileage]],Table_Expenses[#Headers],0),FALSE),"Receipt")="Receipt",ROUND($X35,2),ROUND($Y35*IFERROR(VLOOKUP(Field09_PayeeType,Table_PayeeType[],MATCH(Table_PayeeType[[#Headers],[Mileage Reimbursement Rate]],Table_PayeeType[#Headers],0),FALSE),DefaultMileageRate),2))</f>
        <v>0</v>
      </c>
      <c r="AA35" s="39"/>
      <c r="AB35" s="36"/>
      <c r="AC35" s="71"/>
      <c r="AD35" s="36"/>
      <c r="AE35" s="71"/>
      <c r="AF35" s="71"/>
      <c r="AG35" s="71"/>
      <c r="AH35" s="71"/>
      <c r="AI35" s="71"/>
      <c r="AJ35" s="71"/>
      <c r="AK35" s="71"/>
      <c r="AL35" s="71"/>
      <c r="AM35" s="71"/>
      <c r="AN35" s="71"/>
      <c r="AO35" s="71"/>
      <c r="AP35" s="71"/>
      <c r="AQ35" s="71"/>
      <c r="AR35" s="71"/>
      <c r="AS35" s="71"/>
      <c r="AT35" s="71"/>
      <c r="AU35" s="36"/>
      <c r="AV35" s="36"/>
      <c r="AW35" s="36"/>
      <c r="AX35" s="36"/>
      <c r="AY35" s="36"/>
      <c r="AZ35" s="36"/>
      <c r="BA35" s="36"/>
      <c r="BB35" s="36"/>
      <c r="BC35" s="36"/>
      <c r="BD35" s="36"/>
    </row>
    <row r="36" spans="1:56" ht="18.95" customHeight="1" x14ac:dyDescent="0.25">
      <c r="A36" s="36"/>
      <c r="B36" s="67" t="s">
        <v>66</v>
      </c>
      <c r="C36" s="243"/>
      <c r="D36" s="243"/>
      <c r="E36" s="243"/>
      <c r="F36" s="243"/>
      <c r="G36" s="35"/>
      <c r="H36" s="240"/>
      <c r="I36" s="199"/>
      <c r="J36" s="200"/>
      <c r="K36" s="236"/>
      <c r="L36" s="238"/>
      <c r="M36" s="236"/>
      <c r="N36" s="237"/>
      <c r="O36" s="237"/>
      <c r="P36" s="237"/>
      <c r="Q36" s="238"/>
      <c r="R36" s="236"/>
      <c r="S36" s="238"/>
      <c r="T36" s="236"/>
      <c r="U36" s="237"/>
      <c r="V36" s="237"/>
      <c r="W36" s="238"/>
      <c r="X36" s="90"/>
      <c r="Y36" s="121"/>
      <c r="Z36" s="54">
        <f>IF(IFERROR(VLOOKUP($K36,Table_Expenses[],MATCH(Table_Expenses[[#Headers],[Receipt or Mileage]],Table_Expenses[#Headers],0),FALSE),"Receipt")="Receipt",ROUND($X36,2),ROUND($Y36*IFERROR(VLOOKUP(Field09_PayeeType,Table_PayeeType[],MATCH(Table_PayeeType[[#Headers],[Mileage Reimbursement Rate]],Table_PayeeType[#Headers],0),FALSE),DefaultMileageRate),2))</f>
        <v>0</v>
      </c>
      <c r="AA36" s="39"/>
      <c r="AB36" s="36"/>
      <c r="AC36" s="71"/>
      <c r="AD36" s="36"/>
      <c r="AE36" s="71"/>
      <c r="AF36" s="71"/>
      <c r="AG36" s="71"/>
      <c r="AH36" s="71"/>
      <c r="AI36" s="71"/>
      <c r="AJ36" s="71"/>
      <c r="AK36" s="71"/>
      <c r="AL36" s="71"/>
      <c r="AM36" s="71"/>
      <c r="AN36" s="71"/>
      <c r="AO36" s="71"/>
      <c r="AP36" s="71"/>
      <c r="AQ36" s="71"/>
      <c r="AR36" s="71"/>
      <c r="AS36" s="71"/>
      <c r="AT36" s="71"/>
      <c r="AU36" s="36"/>
      <c r="AV36" s="36"/>
      <c r="AW36" s="36"/>
      <c r="AX36" s="36"/>
      <c r="AY36" s="36"/>
      <c r="AZ36" s="36"/>
      <c r="BA36" s="36"/>
      <c r="BB36" s="36"/>
      <c r="BC36" s="36"/>
      <c r="BD36" s="36"/>
    </row>
    <row r="37" spans="1:56" ht="18.95" customHeight="1" x14ac:dyDescent="0.25">
      <c r="A37" s="36"/>
      <c r="B37" s="67" t="s">
        <v>67</v>
      </c>
      <c r="C37" s="239" t="s">
        <v>65</v>
      </c>
      <c r="D37" s="239"/>
      <c r="E37" s="239"/>
      <c r="F37" s="239"/>
      <c r="G37" s="35"/>
      <c r="H37" s="240"/>
      <c r="I37" s="199"/>
      <c r="J37" s="200"/>
      <c r="K37" s="236"/>
      <c r="L37" s="238"/>
      <c r="M37" s="236"/>
      <c r="N37" s="237"/>
      <c r="O37" s="237"/>
      <c r="P37" s="237"/>
      <c r="Q37" s="238"/>
      <c r="R37" s="236"/>
      <c r="S37" s="238"/>
      <c r="T37" s="236"/>
      <c r="U37" s="237"/>
      <c r="V37" s="237"/>
      <c r="W37" s="238"/>
      <c r="X37" s="90"/>
      <c r="Y37" s="121"/>
      <c r="Z37" s="54">
        <f>IF(IFERROR(VLOOKUP($K37,Table_Expenses[],MATCH(Table_Expenses[[#Headers],[Receipt or Mileage]],Table_Expenses[#Headers],0),FALSE),"Receipt")="Receipt",ROUND($X37,2),ROUND($Y37*IFERROR(VLOOKUP(Field09_PayeeType,Table_PayeeType[],MATCH(Table_PayeeType[[#Headers],[Mileage Reimbursement Rate]],Table_PayeeType[#Headers],0),FALSE),DefaultMileageRate),2))</f>
        <v>0</v>
      </c>
      <c r="AA37" s="36"/>
      <c r="AB37" s="36"/>
      <c r="AC37" s="71"/>
      <c r="AD37" s="36"/>
      <c r="AE37" s="71"/>
      <c r="AF37" s="71"/>
      <c r="AG37" s="71"/>
      <c r="AH37" s="71"/>
      <c r="AI37" s="71"/>
      <c r="AJ37" s="71"/>
      <c r="AK37" s="71"/>
      <c r="AL37" s="71"/>
      <c r="AM37" s="71"/>
      <c r="AN37" s="71"/>
      <c r="AO37" s="71"/>
      <c r="AP37" s="71"/>
      <c r="AQ37" s="71"/>
      <c r="AR37" s="71"/>
      <c r="AS37" s="71"/>
      <c r="AT37" s="71"/>
      <c r="AU37" s="36"/>
      <c r="AV37" s="36"/>
      <c r="AW37" s="36"/>
      <c r="AX37" s="36"/>
      <c r="AY37" s="36"/>
      <c r="AZ37" s="36"/>
      <c r="BA37" s="36"/>
      <c r="BB37" s="36"/>
      <c r="BC37" s="36"/>
      <c r="BD37" s="36"/>
    </row>
    <row r="38" spans="1:56" ht="18.95" customHeight="1" x14ac:dyDescent="0.25">
      <c r="A38" s="36"/>
      <c r="B38" s="66" t="s">
        <v>68</v>
      </c>
      <c r="C38" s="239" t="s">
        <v>65</v>
      </c>
      <c r="D38" s="239"/>
      <c r="E38" s="239"/>
      <c r="F38" s="239"/>
      <c r="G38" s="35"/>
      <c r="H38" s="240"/>
      <c r="I38" s="281" t="s">
        <v>69</v>
      </c>
      <c r="J38" s="282"/>
      <c r="K38" s="282"/>
      <c r="L38" s="282"/>
      <c r="M38" s="282"/>
      <c r="N38" s="282"/>
      <c r="O38" s="282"/>
      <c r="P38" s="282"/>
      <c r="Q38" s="282"/>
      <c r="R38" s="282"/>
      <c r="S38" s="282"/>
      <c r="T38" s="282"/>
      <c r="U38" s="282"/>
      <c r="V38" s="282"/>
      <c r="W38" s="282"/>
      <c r="X38" s="282"/>
      <c r="Y38" s="283"/>
      <c r="Z38" s="51">
        <f>SUM($Z$27:$Z$37)</f>
        <v>680.18</v>
      </c>
      <c r="AA38" s="36"/>
      <c r="AB38" s="36"/>
      <c r="AC38" s="71"/>
      <c r="AD38" s="71"/>
      <c r="AE38" s="71"/>
      <c r="AF38" s="71"/>
      <c r="AG38" s="71"/>
      <c r="AH38" s="71"/>
      <c r="AI38" s="71"/>
      <c r="AJ38" s="71"/>
      <c r="AK38" s="71"/>
      <c r="AL38" s="71"/>
      <c r="AM38" s="71"/>
      <c r="AN38" s="71"/>
      <c r="AO38" s="71"/>
      <c r="AP38" s="71"/>
      <c r="AQ38" s="71"/>
      <c r="AR38" s="71"/>
      <c r="AS38" s="71"/>
      <c r="AT38" s="71"/>
      <c r="AU38" s="36"/>
      <c r="AV38" s="36"/>
      <c r="AW38" s="36"/>
      <c r="AX38" s="36"/>
      <c r="AY38" s="36"/>
      <c r="AZ38" s="36"/>
      <c r="BA38" s="36"/>
      <c r="BB38" s="36"/>
      <c r="BC38" s="36"/>
      <c r="BD38" s="36"/>
    </row>
    <row r="39" spans="1:56" ht="15" customHeight="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36"/>
      <c r="AC39" s="71"/>
      <c r="AD39" s="71"/>
      <c r="AE39" s="71"/>
      <c r="AF39" s="71"/>
      <c r="AG39" s="71"/>
      <c r="AH39" s="71"/>
      <c r="AI39" s="71"/>
      <c r="AJ39" s="71"/>
      <c r="AK39" s="71"/>
      <c r="AL39" s="71"/>
      <c r="AM39" s="71"/>
      <c r="AN39" s="71"/>
      <c r="AO39" s="71"/>
      <c r="AP39" s="71"/>
      <c r="AQ39" s="71"/>
      <c r="AR39" s="71"/>
      <c r="AS39" s="71"/>
      <c r="AT39" s="71"/>
      <c r="AU39" s="36"/>
      <c r="AV39" s="36"/>
      <c r="AW39" s="36"/>
      <c r="AX39" s="36"/>
      <c r="AY39" s="36"/>
      <c r="AZ39" s="36"/>
      <c r="BA39" s="36"/>
      <c r="BB39" s="36"/>
      <c r="BC39" s="36"/>
      <c r="BD39" s="36"/>
    </row>
    <row r="40" spans="1:56" ht="15" customHeight="1" x14ac:dyDescent="0.25">
      <c r="A40" s="68"/>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8"/>
      <c r="AB40" s="36"/>
      <c r="AC40" s="71"/>
      <c r="AD40" s="71"/>
      <c r="AE40" s="71"/>
      <c r="AF40" s="71"/>
      <c r="AG40" s="71"/>
      <c r="AH40" s="71"/>
      <c r="AI40" s="71"/>
      <c r="AJ40" s="71"/>
      <c r="AK40" s="71"/>
      <c r="AL40" s="71"/>
      <c r="AM40" s="71"/>
      <c r="AN40" s="71"/>
      <c r="AO40" s="71"/>
      <c r="AP40" s="71"/>
      <c r="AQ40" s="71"/>
      <c r="AR40" s="71"/>
      <c r="AS40" s="71"/>
      <c r="AT40" s="71"/>
      <c r="AU40" s="36"/>
      <c r="AV40" s="36"/>
      <c r="AW40" s="36"/>
      <c r="AX40" s="36"/>
      <c r="AY40" s="36"/>
      <c r="AZ40" s="36"/>
      <c r="BA40" s="36"/>
      <c r="BB40" s="36"/>
      <c r="BC40" s="36"/>
      <c r="BD40" s="36"/>
    </row>
    <row r="41" spans="1:56" ht="18.95" customHeight="1" x14ac:dyDescent="0.25">
      <c r="A41" s="68"/>
      <c r="B41" s="250" t="str">
        <f>VLOOKUP(VALUE("08"),Table_SectionNames[],MATCH(Table_SectionNames[[#Headers],[Section Header]],Table_SectionNames[#Headers],0),FALSE)</f>
        <v>8. Funding Maximum (if applicable)</v>
      </c>
      <c r="C41" s="251"/>
      <c r="D41" s="251"/>
      <c r="E41" s="251"/>
      <c r="F41" s="252"/>
      <c r="G41" s="69"/>
      <c r="H41" s="250" t="str">
        <f>VLOOKUP(VALUE("10"),Table_SectionNames[],MATCH(Table_SectionNames[[#Headers],[Section Header]],Table_SectionNames[#Headers],0),FALSE)</f>
        <v>10. Claim Allocation</v>
      </c>
      <c r="I41" s="251"/>
      <c r="J41" s="251"/>
      <c r="K41" s="251"/>
      <c r="L41" s="251"/>
      <c r="M41" s="251"/>
      <c r="N41" s="252"/>
      <c r="O41" s="70"/>
      <c r="P41" s="329" t="str">
        <f>VLOOKUP(VALUE("11"),Table_SectionNames[],MATCH(Table_SectionNames[[#Headers],[Section Header]],Table_SectionNames[#Headers],0),FALSE)</f>
        <v>11. Authorization</v>
      </c>
      <c r="Q41" s="330"/>
      <c r="R41" s="330"/>
      <c r="S41" s="330"/>
      <c r="T41" s="330"/>
      <c r="U41" s="330"/>
      <c r="V41" s="330"/>
      <c r="W41" s="330"/>
      <c r="X41" s="330"/>
      <c r="Y41" s="330"/>
      <c r="Z41" s="331"/>
      <c r="AA41" s="68"/>
      <c r="AB41" s="36"/>
      <c r="AC41" s="71"/>
      <c r="AD41" s="71"/>
      <c r="AE41" s="71"/>
      <c r="AF41" s="71"/>
      <c r="AG41" s="71"/>
      <c r="AH41" s="71"/>
      <c r="AI41" s="71"/>
      <c r="AJ41" s="71"/>
      <c r="AK41" s="71"/>
      <c r="AL41" s="71"/>
      <c r="AM41" s="71"/>
      <c r="AN41" s="71"/>
      <c r="AO41" s="71"/>
      <c r="AP41" s="71"/>
      <c r="AQ41" s="71"/>
      <c r="AR41" s="71"/>
      <c r="AS41" s="71"/>
      <c r="AT41" s="71"/>
      <c r="AU41" s="36"/>
      <c r="AV41" s="36"/>
      <c r="AW41" s="36"/>
      <c r="AX41" s="36"/>
      <c r="AY41" s="36"/>
      <c r="AZ41" s="36"/>
      <c r="BA41" s="36"/>
      <c r="BB41" s="36"/>
      <c r="BC41" s="36"/>
      <c r="BD41" s="36"/>
    </row>
    <row r="42" spans="1:56" ht="18.95" customHeight="1" x14ac:dyDescent="0.25">
      <c r="A42" s="68"/>
      <c r="B42" s="312" t="s">
        <v>70</v>
      </c>
      <c r="C42" s="312"/>
      <c r="D42" s="312"/>
      <c r="E42" s="312"/>
      <c r="F42" s="91"/>
      <c r="G42" s="69"/>
      <c r="H42" s="279" t="s">
        <v>71</v>
      </c>
      <c r="I42" s="279"/>
      <c r="J42" s="280"/>
      <c r="K42" s="280"/>
      <c r="L42" s="280"/>
      <c r="M42" s="299"/>
      <c r="N42" s="299"/>
      <c r="O42" s="70"/>
      <c r="P42" s="327" t="s">
        <v>72</v>
      </c>
      <c r="Q42" s="327"/>
      <c r="R42" s="327" t="s">
        <v>35</v>
      </c>
      <c r="S42" s="327"/>
      <c r="T42" s="327"/>
      <c r="U42" s="327" t="s">
        <v>6</v>
      </c>
      <c r="V42" s="327"/>
      <c r="W42" s="327"/>
      <c r="X42" s="327" t="s">
        <v>73</v>
      </c>
      <c r="Y42" s="327"/>
      <c r="Z42" s="327"/>
      <c r="AA42" s="68"/>
      <c r="AB42" s="36"/>
      <c r="AC42" s="71"/>
      <c r="AD42" s="71"/>
      <c r="AE42" s="71"/>
      <c r="AF42" s="71"/>
      <c r="AG42" s="71"/>
      <c r="AH42" s="71"/>
      <c r="AI42" s="71"/>
      <c r="AJ42" s="71"/>
      <c r="AK42" s="71"/>
      <c r="AL42" s="71"/>
      <c r="AM42" s="71"/>
      <c r="AN42" s="71"/>
      <c r="AO42" s="71"/>
      <c r="AP42" s="71"/>
      <c r="AQ42" s="71"/>
      <c r="AR42" s="71"/>
      <c r="AS42" s="71"/>
      <c r="AT42" s="71"/>
      <c r="AU42" s="36"/>
      <c r="AV42" s="36"/>
      <c r="AW42" s="36"/>
      <c r="AX42" s="36"/>
      <c r="AY42" s="36"/>
      <c r="AZ42" s="36"/>
      <c r="BA42" s="36"/>
      <c r="BB42" s="36"/>
      <c r="BC42" s="36"/>
      <c r="BD42" s="36"/>
    </row>
    <row r="43" spans="1:56" ht="18.95" customHeight="1" x14ac:dyDescent="0.25">
      <c r="A43" s="68"/>
      <c r="B43" s="312" t="s">
        <v>74</v>
      </c>
      <c r="C43" s="313"/>
      <c r="D43" s="313"/>
      <c r="E43" s="313"/>
      <c r="F43" s="313"/>
      <c r="G43" s="69"/>
      <c r="H43" s="279" t="s">
        <v>75</v>
      </c>
      <c r="I43" s="279"/>
      <c r="J43" s="280"/>
      <c r="K43" s="280"/>
      <c r="L43" s="280"/>
      <c r="M43" s="299"/>
      <c r="N43" s="299"/>
      <c r="O43" s="70"/>
      <c r="P43" s="309" t="s">
        <v>76</v>
      </c>
      <c r="Q43" s="309"/>
      <c r="R43" s="318" t="str">
        <f ca="1">IF(COUNTIFS(Table_ErrorList[Error Evaluation],TRUE,Table_ErrorList[Section '#],1)=0,
CONCATENATE(TRIM(PROPER(Field01_Prefix))," ",TRIM(PROPER(Field02_FirstName))," ",TRIM(PROPER(Field03_LastName))),"- - - - - -")</f>
        <v>Ms. Hailey Masiero</v>
      </c>
      <c r="S43" s="319"/>
      <c r="T43" s="320"/>
      <c r="U43" s="314">
        <v>43636</v>
      </c>
      <c r="V43" s="314"/>
      <c r="W43" s="314"/>
      <c r="X43" s="328"/>
      <c r="Y43" s="328"/>
      <c r="Z43" s="328"/>
      <c r="AA43" s="68"/>
      <c r="AB43" s="36"/>
      <c r="AC43" s="71"/>
      <c r="AD43" s="71"/>
      <c r="AE43" s="71"/>
      <c r="AF43" s="71"/>
      <c r="AG43" s="71"/>
      <c r="AH43" s="71"/>
      <c r="AI43" s="71"/>
      <c r="AJ43" s="71"/>
      <c r="AK43" s="71"/>
      <c r="AL43" s="71"/>
      <c r="AM43" s="71"/>
      <c r="AN43" s="71"/>
      <c r="AO43" s="71"/>
      <c r="AP43" s="71"/>
      <c r="AQ43" s="71"/>
      <c r="AR43" s="71"/>
      <c r="AS43" s="71"/>
      <c r="AT43" s="71"/>
      <c r="AU43" s="36"/>
      <c r="AV43" s="36"/>
      <c r="AW43" s="36"/>
      <c r="AX43" s="36"/>
      <c r="AY43" s="36"/>
      <c r="AZ43" s="36"/>
      <c r="BA43" s="36"/>
      <c r="BB43" s="36"/>
      <c r="BC43" s="36"/>
      <c r="BD43" s="36"/>
    </row>
    <row r="44" spans="1:56" ht="18.95" customHeight="1" x14ac:dyDescent="0.25">
      <c r="A44" s="68"/>
      <c r="B44" s="312"/>
      <c r="C44" s="313"/>
      <c r="D44" s="313"/>
      <c r="E44" s="313"/>
      <c r="F44" s="313"/>
      <c r="G44" s="69"/>
      <c r="H44" s="279" t="s">
        <v>77</v>
      </c>
      <c r="I44" s="279"/>
      <c r="J44" s="280"/>
      <c r="K44" s="280"/>
      <c r="L44" s="280"/>
      <c r="M44" s="299"/>
      <c r="N44" s="299"/>
      <c r="O44" s="70"/>
      <c r="P44" s="309"/>
      <c r="Q44" s="309"/>
      <c r="R44" s="321"/>
      <c r="S44" s="322"/>
      <c r="T44" s="323"/>
      <c r="U44" s="314"/>
      <c r="V44" s="314"/>
      <c r="W44" s="314"/>
      <c r="X44" s="328"/>
      <c r="Y44" s="328"/>
      <c r="Z44" s="328"/>
      <c r="AA44" s="68"/>
      <c r="AB44" s="36"/>
      <c r="AC44" s="71"/>
      <c r="AD44" s="71"/>
      <c r="AE44" s="71"/>
      <c r="AF44" s="71"/>
      <c r="AG44" s="71"/>
      <c r="AH44" s="71"/>
      <c r="AI44" s="71"/>
      <c r="AJ44" s="71"/>
      <c r="AK44" s="71"/>
      <c r="AL44" s="71"/>
      <c r="AM44" s="71"/>
      <c r="AN44" s="71"/>
      <c r="AO44" s="71"/>
      <c r="AP44" s="71"/>
      <c r="AQ44" s="71"/>
      <c r="AR44" s="71"/>
      <c r="AS44" s="71"/>
      <c r="AT44" s="71"/>
      <c r="AU44" s="36"/>
      <c r="AV44" s="36"/>
      <c r="AW44" s="36"/>
      <c r="AX44" s="36"/>
      <c r="AY44" s="36"/>
      <c r="AZ44" s="36"/>
      <c r="BA44" s="36"/>
      <c r="BB44" s="36"/>
      <c r="BC44" s="36"/>
      <c r="BD44" s="36"/>
    </row>
    <row r="45" spans="1:56" ht="18.95" customHeight="1" x14ac:dyDescent="0.25">
      <c r="A45" s="68"/>
      <c r="B45" s="36"/>
      <c r="C45" s="36"/>
      <c r="D45" s="36"/>
      <c r="E45" s="36"/>
      <c r="F45" s="36"/>
      <c r="G45" s="69"/>
      <c r="H45" s="279" t="s">
        <v>78</v>
      </c>
      <c r="I45" s="279"/>
      <c r="J45" s="280"/>
      <c r="K45" s="280"/>
      <c r="L45" s="280"/>
      <c r="M45" s="299"/>
      <c r="N45" s="299"/>
      <c r="O45" s="70"/>
      <c r="P45" s="309"/>
      <c r="Q45" s="309"/>
      <c r="R45" s="324"/>
      <c r="S45" s="325"/>
      <c r="T45" s="326"/>
      <c r="U45" s="314"/>
      <c r="V45" s="314"/>
      <c r="W45" s="314"/>
      <c r="X45" s="328"/>
      <c r="Y45" s="328"/>
      <c r="Z45" s="328"/>
      <c r="AA45" s="68"/>
      <c r="AB45" s="36"/>
      <c r="AC45" s="71"/>
      <c r="AD45" s="71"/>
      <c r="AE45" s="71"/>
      <c r="AF45" s="71"/>
      <c r="AG45" s="71"/>
      <c r="AH45" s="71"/>
      <c r="AI45" s="71"/>
      <c r="AJ45" s="71"/>
      <c r="AK45" s="71"/>
      <c r="AL45" s="71"/>
      <c r="AM45" s="71"/>
      <c r="AN45" s="71"/>
      <c r="AO45" s="71"/>
      <c r="AP45" s="71"/>
      <c r="AQ45" s="71"/>
      <c r="AR45" s="71"/>
      <c r="AS45" s="71"/>
      <c r="AT45" s="71"/>
      <c r="AU45" s="36"/>
      <c r="AV45" s="36"/>
      <c r="AW45" s="36"/>
      <c r="AX45" s="36"/>
      <c r="AY45" s="36"/>
      <c r="AZ45" s="36"/>
      <c r="BA45" s="36"/>
      <c r="BB45" s="36"/>
      <c r="BC45" s="36"/>
      <c r="BD45" s="36"/>
    </row>
    <row r="46" spans="1:56" ht="18.95" customHeight="1" x14ac:dyDescent="0.25">
      <c r="A46" s="68"/>
      <c r="B46" s="306" t="str">
        <f>VLOOKUP(VALUE("09"),Table_SectionNames[],MATCH(Table_SectionNames[[#Headers],[Section Header]],Table_SectionNames[#Headers],0),FALSE)</f>
        <v>9. Expense Summary</v>
      </c>
      <c r="C46" s="306"/>
      <c r="D46" s="306"/>
      <c r="E46" s="306"/>
      <c r="F46" s="306"/>
      <c r="G46" s="69"/>
      <c r="H46" s="305" t="s">
        <v>79</v>
      </c>
      <c r="I46" s="305"/>
      <c r="J46" s="305"/>
      <c r="K46" s="305"/>
      <c r="L46" s="305"/>
      <c r="M46" s="297" t="str">
        <f ca="1">IF(SUM(ClaimAllocation_AmountArray)=Total_Eligible,Total_Eligible,"-err-")</f>
        <v>-err-</v>
      </c>
      <c r="N46" s="297"/>
      <c r="O46" s="70"/>
      <c r="P46" s="309" t="s">
        <v>80</v>
      </c>
      <c r="Q46" s="309"/>
      <c r="R46" s="244"/>
      <c r="S46" s="245"/>
      <c r="T46" s="246"/>
      <c r="U46" s="314"/>
      <c r="V46" s="314"/>
      <c r="W46" s="314"/>
      <c r="X46" s="328"/>
      <c r="Y46" s="328"/>
      <c r="Z46" s="328"/>
      <c r="AA46" s="68"/>
      <c r="AB46" s="36"/>
      <c r="AC46" s="71"/>
      <c r="AD46" s="71"/>
      <c r="AE46" s="71"/>
      <c r="AF46" s="71"/>
      <c r="AG46" s="71"/>
      <c r="AH46" s="71"/>
      <c r="AI46" s="71"/>
      <c r="AJ46" s="71"/>
      <c r="AK46" s="71"/>
      <c r="AL46" s="71"/>
      <c r="AM46" s="71"/>
      <c r="AN46" s="71"/>
      <c r="AO46" s="71"/>
      <c r="AP46" s="71"/>
      <c r="AQ46" s="71"/>
      <c r="AR46" s="71"/>
      <c r="AS46" s="71"/>
      <c r="AT46" s="71"/>
      <c r="AU46" s="36"/>
      <c r="AV46" s="36"/>
      <c r="AW46" s="36"/>
      <c r="AX46" s="36"/>
      <c r="AY46" s="36"/>
      <c r="AZ46" s="36"/>
      <c r="BA46" s="36"/>
      <c r="BB46" s="36"/>
      <c r="BC46" s="36"/>
      <c r="BD46" s="36"/>
    </row>
    <row r="47" spans="1:56" ht="18.95" customHeight="1" x14ac:dyDescent="0.25">
      <c r="A47" s="68"/>
      <c r="B47" s="308" t="str">
        <f>VLOOKUP("A",Table_SummaryPots[],MATCH(Table_SummaryPots[[#Headers],[Summary Pots]],Table_SummaryPots[#Headers],0),FALSE)</f>
        <v>Meals &amp; Groceries</v>
      </c>
      <c r="C47" s="308"/>
      <c r="D47" s="308"/>
      <c r="E47" s="308"/>
      <c r="F47" s="40">
        <f ca="1">Total_Meals</f>
        <v>0</v>
      </c>
      <c r="G47" s="69"/>
      <c r="H47" s="300" t="s">
        <v>81</v>
      </c>
      <c r="I47" s="301"/>
      <c r="J47" s="302"/>
      <c r="K47" s="310" t="str">
        <f>"XX"&amp;"-000000-13000-00"</f>
        <v>XX-000000-13000-00</v>
      </c>
      <c r="L47" s="311"/>
      <c r="M47" s="298" t="str">
        <f ca="1">IF(SUM(ClaimAllocation_AmountArray)=Total_Eligible,Total_Advance,"-err-")</f>
        <v>-err-</v>
      </c>
      <c r="N47" s="298"/>
      <c r="O47" s="70"/>
      <c r="P47" s="309"/>
      <c r="Q47" s="309"/>
      <c r="R47" s="315"/>
      <c r="S47" s="316"/>
      <c r="T47" s="317"/>
      <c r="U47" s="314"/>
      <c r="V47" s="314"/>
      <c r="W47" s="314"/>
      <c r="X47" s="328"/>
      <c r="Y47" s="328"/>
      <c r="Z47" s="328"/>
      <c r="AA47" s="68"/>
      <c r="AB47" s="36"/>
      <c r="AC47" s="71"/>
      <c r="AD47" s="71"/>
      <c r="AE47" s="71"/>
      <c r="AF47" s="71"/>
      <c r="AG47" s="71"/>
      <c r="AH47" s="71"/>
      <c r="AI47" s="71"/>
      <c r="AJ47" s="71"/>
      <c r="AK47" s="71"/>
      <c r="AL47" s="71"/>
      <c r="AM47" s="71"/>
      <c r="AN47" s="71"/>
      <c r="AO47" s="71"/>
      <c r="AP47" s="71"/>
      <c r="AQ47" s="71"/>
      <c r="AR47" s="71"/>
      <c r="AS47" s="71"/>
      <c r="AT47" s="71"/>
      <c r="AU47" s="36"/>
      <c r="AV47" s="36"/>
      <c r="AW47" s="36"/>
      <c r="AX47" s="36"/>
      <c r="AY47" s="36"/>
      <c r="AZ47" s="36"/>
      <c r="BA47" s="36"/>
      <c r="BB47" s="36"/>
      <c r="BC47" s="36"/>
      <c r="BD47" s="36"/>
    </row>
    <row r="48" spans="1:56" ht="18.95" customHeight="1" x14ac:dyDescent="0.25">
      <c r="A48" s="68"/>
      <c r="B48" s="308" t="str">
        <f>VLOOKUP("B",Table_SummaryPots[],MATCH(Table_SummaryPots[[#Headers],[Summary Pots]],Table_SummaryPots[#Headers],0),FALSE)</f>
        <v>Transportation &amp; Accommodation</v>
      </c>
      <c r="C48" s="308"/>
      <c r="D48" s="308"/>
      <c r="E48" s="308"/>
      <c r="F48" s="40">
        <f ca="1">Total_TransAccomm</f>
        <v>680.18000000000006</v>
      </c>
      <c r="G48" s="69"/>
      <c r="H48" s="305" t="s">
        <v>82</v>
      </c>
      <c r="I48" s="305"/>
      <c r="J48" s="305"/>
      <c r="K48" s="305"/>
      <c r="L48" s="305"/>
      <c r="M48" s="297" t="str">
        <f ca="1">IF(SUM(ClaimAllocation_AmountArray)=Total_Eligible,Total_Payable,"-err-")</f>
        <v>-err-</v>
      </c>
      <c r="N48" s="297"/>
      <c r="O48" s="70"/>
      <c r="P48" s="309"/>
      <c r="Q48" s="309"/>
      <c r="R48" s="247"/>
      <c r="S48" s="248"/>
      <c r="T48" s="249"/>
      <c r="U48" s="314"/>
      <c r="V48" s="314"/>
      <c r="W48" s="314"/>
      <c r="X48" s="328"/>
      <c r="Y48" s="328"/>
      <c r="Z48" s="328"/>
      <c r="AA48" s="68"/>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ht="18.95" customHeight="1" x14ac:dyDescent="0.2">
      <c r="A49" s="68"/>
      <c r="B49" s="308" t="str">
        <f>+VLOOKUP("C",Table_SummaryPots[],MATCH(Table_SummaryPots[[#Headers],[Summary Pots]],Table_SummaryPots[#Headers],0),FALSE)</f>
        <v>Registration</v>
      </c>
      <c r="C49" s="308"/>
      <c r="D49" s="308"/>
      <c r="E49" s="308"/>
      <c r="F49" s="40">
        <f ca="1">Total_Registration</f>
        <v>0</v>
      </c>
      <c r="G49" s="68"/>
      <c r="H49" s="68"/>
      <c r="I49" s="68"/>
      <c r="J49" s="68"/>
      <c r="K49" s="68"/>
      <c r="L49" s="68"/>
      <c r="M49" s="68"/>
      <c r="N49" s="68"/>
      <c r="O49" s="68"/>
      <c r="P49" s="68"/>
      <c r="Q49" s="68"/>
      <c r="R49" s="68"/>
      <c r="S49" s="68"/>
      <c r="T49" s="68"/>
      <c r="U49" s="68"/>
      <c r="V49" s="68"/>
      <c r="W49" s="68"/>
      <c r="X49" s="68"/>
      <c r="Y49" s="68"/>
      <c r="Z49" s="68"/>
      <c r="AA49" s="68"/>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ht="18.95" customHeight="1" x14ac:dyDescent="0.2">
      <c r="A50" s="68"/>
      <c r="B50" s="307" t="s">
        <v>83</v>
      </c>
      <c r="C50" s="307"/>
      <c r="D50" s="307"/>
      <c r="E50" s="307"/>
      <c r="F50" s="41">
        <f ca="1">Total_ExpenseClaimed</f>
        <v>680.18000000000006</v>
      </c>
      <c r="G50" s="68"/>
      <c r="H50" s="212" t="str">
        <f>VLOOKUP(VALUE("12"),Table_SectionNames[],MATCH(Table_SectionNames[[#Headers],[Section Header]],Table_SectionNames[#Headers],0),FALSE)</f>
        <v>Claim Status</v>
      </c>
      <c r="I50" s="213"/>
      <c r="J50" s="214"/>
      <c r="K50" s="210" t="str">
        <f ca="1">VLOOKUP(TRUE,Table_ClaimStatus[],MATCH(Table_ClaimStatus[[#Headers],[Message]],Table_ClaimStatus[#Headers],0),FALSE)</f>
        <v>Ready for review</v>
      </c>
      <c r="L50" s="211"/>
      <c r="M50" s="211"/>
      <c r="N50" s="211"/>
      <c r="O50" s="211"/>
      <c r="P50" s="211"/>
      <c r="Q50" s="211"/>
      <c r="R50" s="211"/>
      <c r="S50" s="211"/>
      <c r="T50" s="211"/>
      <c r="U50" s="211"/>
      <c r="V50" s="211"/>
      <c r="W50" s="68"/>
      <c r="X50" s="42" t="str">
        <f>VLOOKUP(VALUE("13"),Table_SectionNames[],MATCH(Table_SectionNames[[#Headers],[Section Header]],Table_SectionNames[#Headers],0),FALSE)</f>
        <v>HST</v>
      </c>
      <c r="Y50" s="43" t="s">
        <v>84</v>
      </c>
      <c r="Z50" s="43" t="s">
        <v>85</v>
      </c>
      <c r="AA50" s="68"/>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ht="18.95" customHeight="1" x14ac:dyDescent="0.2">
      <c r="A51" s="68"/>
      <c r="B51" s="307" t="s">
        <v>86</v>
      </c>
      <c r="C51" s="307"/>
      <c r="D51" s="307"/>
      <c r="E51" s="307"/>
      <c r="F51" s="41">
        <f ca="1">Total_Eligible</f>
        <v>680.18000000000006</v>
      </c>
      <c r="G51" s="68"/>
      <c r="H51" s="209" t="s">
        <v>87</v>
      </c>
      <c r="I51" s="209"/>
      <c r="J51" s="209"/>
      <c r="K51" s="209"/>
      <c r="L51" s="209"/>
      <c r="M51" s="209"/>
      <c r="N51" s="209"/>
      <c r="O51" s="209"/>
      <c r="P51" s="209"/>
      <c r="Q51" s="209"/>
      <c r="R51" s="209"/>
      <c r="S51" s="209"/>
      <c r="T51" s="209"/>
      <c r="U51" s="209"/>
      <c r="V51" s="209"/>
      <c r="W51" s="68"/>
      <c r="X51" s="43" t="s">
        <v>88</v>
      </c>
      <c r="Y51" s="44">
        <f ca="1">IF(AND(IFERROR(VLOOKUP(Field13_TravelScope,Table_Range[],MATCH(Table_Range[[#Headers],[HST Calculation]],Table_Range[#Headers],0),FALSE),FALSE),OR(Field30_MaximumAmount="",ISBLANK(Field30_MaximumAmount),Field30_MaximumAmount=0,Field30_MaximumAmount&gt;Total_ExpenseClaimed)),
Total_ExpenseClaimed*HSTFedRebate,"N/A")</f>
        <v>18.70495</v>
      </c>
      <c r="Z51" s="44">
        <f ca="1">IF(AND(IFERROR(VLOOKUP(Field13_TravelScope,Table_Range[],MATCH(Table_Range[[#Headers],[HST Calculation]],Table_Range[#Headers],0),FALSE),FALSE),OR(Field30_MaximumAmount="",ISBLANK(Field30_MaximumAmount),Field30_MaximumAmount=0,Field30_MaximumAmount&gt;Total_ExpenseClaimed)),
Total_ExpenseClaimed*HSTProvRebate,"N/A")</f>
        <v>39.110350000000004</v>
      </c>
      <c r="AA51" s="68"/>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ht="18.95" customHeight="1" thickBot="1" x14ac:dyDescent="0.25">
      <c r="A52" s="68"/>
      <c r="B52" s="308" t="s">
        <v>81</v>
      </c>
      <c r="C52" s="308"/>
      <c r="D52" s="308"/>
      <c r="E52" s="308"/>
      <c r="F52" s="40">
        <f>Total_Advance</f>
        <v>0</v>
      </c>
      <c r="G52" s="68"/>
      <c r="H52" s="209"/>
      <c r="I52" s="209"/>
      <c r="J52" s="209"/>
      <c r="K52" s="209"/>
      <c r="L52" s="209"/>
      <c r="M52" s="209"/>
      <c r="N52" s="209"/>
      <c r="O52" s="209"/>
      <c r="P52" s="209"/>
      <c r="Q52" s="209"/>
      <c r="R52" s="209"/>
      <c r="S52" s="209"/>
      <c r="T52" s="209"/>
      <c r="U52" s="209"/>
      <c r="V52" s="209"/>
      <c r="W52" s="68"/>
      <c r="X52" s="45" t="s">
        <v>89</v>
      </c>
      <c r="Y52" s="268">
        <f ca="1">IF(AND(IFERROR(VLOOKUP(Field13_TravelScope,Table_Range[],MATCH(Table_Range[[#Headers],[HST Calculation]],Table_Range[#Headers],0),FALSE),FALSE),OR(Field30_MaximumAmount="",ISBLANK(Field30_MaximumAmount),Field30_MaximumAmount=0,Field30_MaximumAmount&gt;Total_ExpenseClaimed)),
Total_ExpenseClaimed*(HSTTotal-(HSTFedRebate+HSTProvRebate)),"N/A")</f>
        <v>30.6081</v>
      </c>
      <c r="Z52" s="269"/>
      <c r="AA52" s="68"/>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ht="18.95" customHeight="1" thickTop="1" x14ac:dyDescent="0.2">
      <c r="A53" s="68"/>
      <c r="B53" s="307" t="s">
        <v>82</v>
      </c>
      <c r="C53" s="307"/>
      <c r="D53" s="307"/>
      <c r="E53" s="307"/>
      <c r="F53" s="41">
        <f ca="1">Total_Payable</f>
        <v>680.18000000000006</v>
      </c>
      <c r="G53" s="68"/>
      <c r="H53" s="209"/>
      <c r="I53" s="209"/>
      <c r="J53" s="209"/>
      <c r="K53" s="209"/>
      <c r="L53" s="209"/>
      <c r="M53" s="209"/>
      <c r="N53" s="209"/>
      <c r="O53" s="209"/>
      <c r="P53" s="209"/>
      <c r="Q53" s="209"/>
      <c r="R53" s="209"/>
      <c r="S53" s="209"/>
      <c r="T53" s="209"/>
      <c r="U53" s="209"/>
      <c r="V53" s="209"/>
      <c r="W53" s="68"/>
      <c r="X53" s="46" t="s">
        <v>9</v>
      </c>
      <c r="Y53" s="270">
        <f ca="1">IF(AND(IFERROR(VLOOKUP(Field13_TravelScope,Table_Range[],MATCH(Table_Range[[#Headers],[HST Calculation]],Table_Range[#Headers],0),FALSE),FALSE),OR(Field30_MaximumAmount="",ISBLANK(Field30_MaximumAmount),Field30_MaximumAmount=0,Field30_MaximumAmount&gt;Total_ExpenseClaimed)),
Total_ExpenseClaimed*HSTTotal,"N/A")</f>
        <v>88.423400000000015</v>
      </c>
      <c r="Z53" s="271"/>
      <c r="AA53" s="68"/>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ht="15" customHeight="1" x14ac:dyDescent="0.2">
      <c r="A54" s="68"/>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8"/>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x14ac:dyDescent="0.2">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x14ac:dyDescent="0.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x14ac:dyDescent="0.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x14ac:dyDescent="0.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15.75" x14ac:dyDescent="0.25">
      <c r="A59" s="36"/>
      <c r="B59" s="36"/>
      <c r="C59" s="36"/>
      <c r="D59" s="36"/>
      <c r="E59" s="36"/>
      <c r="F59" s="36"/>
      <c r="G59" s="36"/>
      <c r="H59" s="37"/>
      <c r="I59" s="37"/>
      <c r="J59" s="37"/>
      <c r="K59" s="37"/>
      <c r="L59" s="37"/>
      <c r="M59" s="37"/>
      <c r="N59" s="37"/>
      <c r="O59" s="37"/>
      <c r="P59" s="37"/>
      <c r="Q59" s="37"/>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ht="15.75" x14ac:dyDescent="0.25">
      <c r="A60" s="36"/>
      <c r="B60" s="36"/>
      <c r="C60" s="36"/>
      <c r="D60" s="36"/>
      <c r="E60" s="36"/>
      <c r="F60" s="36"/>
      <c r="G60" s="36"/>
      <c r="H60" s="37"/>
      <c r="I60" s="37"/>
      <c r="J60" s="37"/>
      <c r="K60" s="37"/>
      <c r="L60" s="37"/>
      <c r="M60" s="37"/>
      <c r="N60" s="37"/>
      <c r="O60" s="37"/>
      <c r="P60" s="37"/>
      <c r="Q60" s="37"/>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x14ac:dyDescent="0.2">
      <c r="A61" s="36"/>
      <c r="B61" s="36"/>
      <c r="C61" s="36"/>
      <c r="D61" s="36"/>
      <c r="E61" s="36"/>
      <c r="F61" s="36"/>
      <c r="G61" s="36"/>
      <c r="H61" s="36"/>
      <c r="I61" s="36"/>
      <c r="J61" s="36"/>
      <c r="K61" s="36"/>
      <c r="L61" s="36"/>
      <c r="M61" s="36"/>
      <c r="N61" s="36"/>
      <c r="O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x14ac:dyDescent="0.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x14ac:dyDescent="0.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x14ac:dyDescent="0.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x14ac:dyDescent="0.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x14ac:dyDescent="0.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x14ac:dyDescent="0.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x14ac:dyDescent="0.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x14ac:dyDescent="0.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x14ac:dyDescent="0.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x14ac:dyDescent="0.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x14ac:dyDescent="0.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x14ac:dyDescent="0.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x14ac:dyDescent="0.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x14ac:dyDescent="0.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x14ac:dyDescent="0.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x14ac:dyDescent="0.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sheetData>
  <sheetProtection algorithmName="SHA-512" hashValue="NhmGSvQrhaT2a1YAmAL7y3/PxedPR1W2JoCjNb4icYRdq8+HUAtpcV+g5th99g9NHgg6S0LOjksrTuPSDKJ+Sw==" saltValue="DoscMwdBbBH0dOEUO3LPxA==" spinCount="100000" sheet="1" objects="1" scenarios="1"/>
  <mergeCells count="202">
    <mergeCell ref="V15:W15"/>
    <mergeCell ref="V16:W16"/>
    <mergeCell ref="V17:W17"/>
    <mergeCell ref="V18:W18"/>
    <mergeCell ref="X42:Z42"/>
    <mergeCell ref="K36:L36"/>
    <mergeCell ref="K35:L35"/>
    <mergeCell ref="B41:F41"/>
    <mergeCell ref="B42:E42"/>
    <mergeCell ref="M36:Q36"/>
    <mergeCell ref="M35:Q35"/>
    <mergeCell ref="T35:W35"/>
    <mergeCell ref="K33:L33"/>
    <mergeCell ref="B34:F34"/>
    <mergeCell ref="I33:J33"/>
    <mergeCell ref="Z25:Z26"/>
    <mergeCell ref="K25:L26"/>
    <mergeCell ref="M34:Q34"/>
    <mergeCell ref="M33:Q33"/>
    <mergeCell ref="T34:W34"/>
    <mergeCell ref="T33:W33"/>
    <mergeCell ref="X25:X26"/>
    <mergeCell ref="Y25:Y26"/>
    <mergeCell ref="T31:W31"/>
    <mergeCell ref="X43:Z45"/>
    <mergeCell ref="K37:L37"/>
    <mergeCell ref="M37:Q37"/>
    <mergeCell ref="R37:S37"/>
    <mergeCell ref="P41:Z41"/>
    <mergeCell ref="P42:Q42"/>
    <mergeCell ref="U43:W45"/>
    <mergeCell ref="X46:Z48"/>
    <mergeCell ref="T36:W36"/>
    <mergeCell ref="T30:W30"/>
    <mergeCell ref="T29:W29"/>
    <mergeCell ref="T28:W28"/>
    <mergeCell ref="T27:W27"/>
    <mergeCell ref="T25:W26"/>
    <mergeCell ref="H48:L48"/>
    <mergeCell ref="R36:S36"/>
    <mergeCell ref="R35:S35"/>
    <mergeCell ref="I37:J37"/>
    <mergeCell ref="U46:W48"/>
    <mergeCell ref="R46:T48"/>
    <mergeCell ref="R43:T45"/>
    <mergeCell ref="R42:T42"/>
    <mergeCell ref="U42:W42"/>
    <mergeCell ref="K30:L30"/>
    <mergeCell ref="K29:L29"/>
    <mergeCell ref="K28:L28"/>
    <mergeCell ref="I32:J32"/>
    <mergeCell ref="I31:J31"/>
    <mergeCell ref="I30:J30"/>
    <mergeCell ref="M27:Q27"/>
    <mergeCell ref="R33:S33"/>
    <mergeCell ref="B53:E53"/>
    <mergeCell ref="B52:E52"/>
    <mergeCell ref="B51:E51"/>
    <mergeCell ref="B50:E50"/>
    <mergeCell ref="B49:E49"/>
    <mergeCell ref="B48:E48"/>
    <mergeCell ref="B47:E47"/>
    <mergeCell ref="P43:Q45"/>
    <mergeCell ref="P46:Q48"/>
    <mergeCell ref="K47:L47"/>
    <mergeCell ref="B43:B44"/>
    <mergeCell ref="C43:F44"/>
    <mergeCell ref="A1:B2"/>
    <mergeCell ref="A3:B4"/>
    <mergeCell ref="C3:AA4"/>
    <mergeCell ref="C1:AA2"/>
    <mergeCell ref="M48:N48"/>
    <mergeCell ref="M47:N47"/>
    <mergeCell ref="M46:N46"/>
    <mergeCell ref="M45:N45"/>
    <mergeCell ref="M44:N44"/>
    <mergeCell ref="M43:N43"/>
    <mergeCell ref="M42:N42"/>
    <mergeCell ref="H41:N41"/>
    <mergeCell ref="H47:J47"/>
    <mergeCell ref="V11:Y11"/>
    <mergeCell ref="V22:W22"/>
    <mergeCell ref="T13:U13"/>
    <mergeCell ref="H46:L46"/>
    <mergeCell ref="B46:F46"/>
    <mergeCell ref="C14:F14"/>
    <mergeCell ref="M30:Q30"/>
    <mergeCell ref="M29:Q29"/>
    <mergeCell ref="M28:Q28"/>
    <mergeCell ref="K32:L32"/>
    <mergeCell ref="K31:L31"/>
    <mergeCell ref="Y52:Z52"/>
    <mergeCell ref="Y53:Z53"/>
    <mergeCell ref="V12:W12"/>
    <mergeCell ref="T12:U12"/>
    <mergeCell ref="Z11:Z12"/>
    <mergeCell ref="P23:Y23"/>
    <mergeCell ref="H45:I45"/>
    <mergeCell ref="H44:I44"/>
    <mergeCell ref="H43:I43"/>
    <mergeCell ref="H42:I42"/>
    <mergeCell ref="J45:L45"/>
    <mergeCell ref="J44:L44"/>
    <mergeCell ref="J43:L43"/>
    <mergeCell ref="J42:L42"/>
    <mergeCell ref="I38:Y38"/>
    <mergeCell ref="I36:J36"/>
    <mergeCell ref="I35:J35"/>
    <mergeCell ref="I34:J34"/>
    <mergeCell ref="V19:W19"/>
    <mergeCell ref="V20:W20"/>
    <mergeCell ref="V21:W21"/>
    <mergeCell ref="R25:S26"/>
    <mergeCell ref="T32:W32"/>
    <mergeCell ref="T15:U15"/>
    <mergeCell ref="H13:M14"/>
    <mergeCell ref="B26:F26"/>
    <mergeCell ref="M25:Q26"/>
    <mergeCell ref="O11:O23"/>
    <mergeCell ref="P22:Q22"/>
    <mergeCell ref="P21:Q21"/>
    <mergeCell ref="P20:Q20"/>
    <mergeCell ref="P19:Q19"/>
    <mergeCell ref="C15:F15"/>
    <mergeCell ref="B11:F11"/>
    <mergeCell ref="C18:F18"/>
    <mergeCell ref="E17:F17"/>
    <mergeCell ref="P17:Q17"/>
    <mergeCell ref="P16:Q16"/>
    <mergeCell ref="P15:Q15"/>
    <mergeCell ref="P14:Q14"/>
    <mergeCell ref="P13:Q13"/>
    <mergeCell ref="B23:B24"/>
    <mergeCell ref="C19:F19"/>
    <mergeCell ref="E20:F20"/>
    <mergeCell ref="C20:D20"/>
    <mergeCell ref="C37:F37"/>
    <mergeCell ref="C36:F36"/>
    <mergeCell ref="C35:F35"/>
    <mergeCell ref="I29:J29"/>
    <mergeCell ref="I28:J28"/>
    <mergeCell ref="I27:J27"/>
    <mergeCell ref="I25:J26"/>
    <mergeCell ref="R32:S32"/>
    <mergeCell ref="R31:S31"/>
    <mergeCell ref="R30:S30"/>
    <mergeCell ref="R29:S29"/>
    <mergeCell ref="R28:S28"/>
    <mergeCell ref="R27:S27"/>
    <mergeCell ref="K27:L27"/>
    <mergeCell ref="R34:S34"/>
    <mergeCell ref="K34:L34"/>
    <mergeCell ref="M32:Q32"/>
    <mergeCell ref="M31:Q31"/>
    <mergeCell ref="D6:P7"/>
    <mergeCell ref="B6:C9"/>
    <mergeCell ref="H51:V53"/>
    <mergeCell ref="K50:V50"/>
    <mergeCell ref="H50:J50"/>
    <mergeCell ref="H11:M11"/>
    <mergeCell ref="C17:D17"/>
    <mergeCell ref="C23:F24"/>
    <mergeCell ref="C22:F22"/>
    <mergeCell ref="C21:F21"/>
    <mergeCell ref="C32:F32"/>
    <mergeCell ref="C31:F31"/>
    <mergeCell ref="C30:F30"/>
    <mergeCell ref="C29:F29"/>
    <mergeCell ref="C28:F28"/>
    <mergeCell ref="C27:F27"/>
    <mergeCell ref="T37:W37"/>
    <mergeCell ref="C38:F38"/>
    <mergeCell ref="H25:H38"/>
    <mergeCell ref="C12:F12"/>
    <mergeCell ref="C13:F13"/>
    <mergeCell ref="C16:F16"/>
    <mergeCell ref="H16:M18"/>
    <mergeCell ref="T22:U22"/>
    <mergeCell ref="X6:Z9"/>
    <mergeCell ref="R6:V9"/>
    <mergeCell ref="H12:M12"/>
    <mergeCell ref="H20:M20"/>
    <mergeCell ref="H23:I23"/>
    <mergeCell ref="H22:I22"/>
    <mergeCell ref="H21:I21"/>
    <mergeCell ref="J23:M23"/>
    <mergeCell ref="J22:M22"/>
    <mergeCell ref="J21:M21"/>
    <mergeCell ref="H15:M15"/>
    <mergeCell ref="T16:U16"/>
    <mergeCell ref="T17:U17"/>
    <mergeCell ref="T18:U18"/>
    <mergeCell ref="T19:U19"/>
    <mergeCell ref="T20:U20"/>
    <mergeCell ref="T21:U21"/>
    <mergeCell ref="P11:Q12"/>
    <mergeCell ref="T14:U14"/>
    <mergeCell ref="V13:W13"/>
    <mergeCell ref="V14:W14"/>
    <mergeCell ref="R11:U11"/>
    <mergeCell ref="P18:Q18"/>
    <mergeCell ref="D8:P9"/>
  </mergeCells>
  <conditionalFormatting sqref="Y51:Z53">
    <cfRule type="expression" dxfId="156" priority="23" stopIfTrue="1">
      <formula>Y51="N/A"</formula>
    </cfRule>
  </conditionalFormatting>
  <conditionalFormatting sqref="C36">
    <cfRule type="expression" dxfId="155" priority="12" stopIfTrue="1">
      <formula>HideAdvanceAmount</formula>
    </cfRule>
  </conditionalFormatting>
  <conditionalFormatting sqref="A5:AA12 A15:AA54 A13:G14 N13:AA14">
    <cfRule type="expression" dxfId="154" priority="61">
      <formula>IFERROR(FIND(CELL("Address",A5)&amp;",",INDEX(ErrorHighlighter_ReferenceArray,MATCH(TRUE,ErrorHighlighter_TrueArray,0)))&gt;0,FALSE)</formula>
    </cfRule>
  </conditionalFormatting>
  <conditionalFormatting sqref="C38">
    <cfRule type="expression" dxfId="153" priority="11" stopIfTrue="1">
      <formula>HideRequester</formula>
    </cfRule>
  </conditionalFormatting>
  <conditionalFormatting sqref="K50">
    <cfRule type="expression" dxfId="152" priority="6">
      <formula>INDEX(Lookup_StatusColour,MATCH(TRUE,Lookup_StatusCalc,0),1)</formula>
    </cfRule>
  </conditionalFormatting>
  <conditionalFormatting sqref="C35:C38">
    <cfRule type="expression" dxfId="151" priority="4" stopIfTrue="1">
      <formula>HideClaimDetails</formula>
    </cfRule>
  </conditionalFormatting>
  <conditionalFormatting sqref="X27:X37">
    <cfRule type="expression" dxfId="150" priority="3">
      <formula>IFERROR(FIND(MID(CELL("address",X27),FIND("$",CELL("address",X27),1),LEN(CELL("address",X27))-FIND("$",CELL("address",X27))+1)&amp;",",HideReceiptFields,1)&gt;0,FALSE)</formula>
    </cfRule>
  </conditionalFormatting>
  <conditionalFormatting sqref="Y27:Y37">
    <cfRule type="expression" dxfId="149" priority="2">
      <formula>IFERROR(FIND(MID(CELL("address",Y27),FIND("$",CELL("address",Y27),1),LEN(CELL("address",Y27))-FIND("$",CELL("address",Y27))+1)&amp;",",Hide_KMFields,1)&gt;0,FALSE)</formula>
    </cfRule>
  </conditionalFormatting>
  <conditionalFormatting sqref="H13:M14">
    <cfRule type="expression" dxfId="148" priority="1">
      <formula>IFERROR(FIND(CELL("Address",H13)&amp;",",INDEX(ErrorHighlighter_ReferenceArray,MATCH(TRUE,ErrorHighlighter_TrueArray,0)))&gt;0,FALSE)</formula>
    </cfRule>
  </conditionalFormatting>
  <dataValidations count="46">
    <dataValidation type="date" operator="lessThan" allowBlank="1" showInputMessage="1" showErrorMessage="1" errorTitle="Submission Date Entry Error" error="To be eligible for reimbursement travel claims must be submitted within 3 months of the 'Travel End Date'._x000a__x000a_If you have not yet entered travel dates, do that step first in '2. Travel Details'." promptTitle="Date Error" sqref="U43:W45" xr:uid="{00000000-0002-0000-0000-000000000000}">
      <formula1>SubmissionDateVal_End</formula1>
    </dataValidation>
    <dataValidation type="list" allowBlank="1" showInputMessage="1" showErrorMessage="1" sqref="K27:L37" xr:uid="{00000000-0002-0000-0000-000001000000}">
      <formula1>Dropdown_Expenses</formula1>
    </dataValidation>
    <dataValidation type="list" allowBlank="1" showInputMessage="1" showErrorMessage="1" errorTitle="Meal Date Entry Error" error="Select a 'Meal Date' from the in-cell dropdown list. _x000a__x000a_The selected date must be between the 'Travel Start Date' and 'Travel End Date'. _x000a__x000a_Each day can only be used once." sqref="P13:Q22" xr:uid="{00000000-0002-0000-0000-000002000000}">
      <formula1>Dropdown_ReceiptDates</formula1>
    </dataValidation>
    <dataValidation type="date" allowBlank="1" showInputMessage="1" showErrorMessage="1" errorTitle="Incorrect D.O.B. Format" error="Enter D.O.B. (date of birth) in any format recognizable by Excel. _x000a__x000a_For example, enter in full (ie. June 1, 1970) or enter numerically in DD/MM/YY or YYYY/MM/DD formats._x000a__x000a_Date must be between 1900/01/01 and today's date." sqref="C20:D20" xr:uid="{00000000-0002-0000-0000-000003000000}">
      <formula1>DATE(1900,1,1)</formula1>
      <formula2>TODAY()</formula2>
    </dataValidation>
    <dataValidation type="list" allowBlank="1" showInputMessage="1" showErrorMessage="1" errorTitle="Purpose Entry Error" error="Select a 'Purpose' from the in-cell dropdown list. _x000a__x000a_This field is to help determine whether or not you need to include an 'Application for Conference Attendance' with your claim." sqref="C37:F37" xr:uid="{00000000-0002-0000-0000-000004000000}">
      <formula1>Dropdown_Purpose</formula1>
    </dataValidation>
    <dataValidation type="list" allowBlank="1" showInputMessage="1" showErrorMessage="1" errorTitle="Requested By Entry Error" error="Select 'Requested By' from the in-cell dropdown list. _x000a__x000a_This field identifies whether or not conference travel was initiated by the organization (NOSM) or the payee." sqref="C38:F38" xr:uid="{00000000-0002-0000-0000-000005000000}">
      <formula1>Dropdown_Requester</formula1>
    </dataValidation>
    <dataValidation type="list" allowBlank="1" showInputMessage="1" showErrorMessage="1" errorTitle="Payment Options Entry Error" error="Select a 'Payment Option' from the in-cell dropdown list._x000a__x000a_If you have not been paid by NOSM before, ensure that you are including direct deposit information along with your submission." sqref="C23:F24" xr:uid="{00000000-0002-0000-0000-000006000000}">
      <formula1>Dropdown_PaymentOptions</formula1>
    </dataValidation>
    <dataValidation type="custom" allowBlank="1" showInputMessage="1" showErrorMessage="1" sqref="AC19" xr:uid="{00000000-0002-0000-0000-000007000000}">
      <formula1>IFERROR(AND(FIND("@",Field07B_Email,1)&gt;0,FIND(".",Field07B_Email,FIND("@",Field07B_Email,1))&gt;0,LEN(Field07B_Email)-FIND(".",Field07B_Email,FIND("@",Field07B_Email,1))&gt;=2),FALSE)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Address must be no more than 40 characters." sqref="C19:F19" xr:uid="{00000000-0002-0000-0000-000008000000}">
      <formula1>IFERROR(AND(FIND("@",Field07B_Email,1)&gt;0,FIND(".",Field07B_Email,FIND("@",Field07B_Email,1))&gt;0,LEN(Field07B_Email)-FIND(".",Field07B_Email,FIND("@",Field07B_Email,1))&gt;=2,LEN(Field07B_Email)&lt;=40),FALSE)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Email' must be no more than 40 characters." sqref="J22:M22" xr:uid="{00000000-0002-0000-0000-000009000000}">
      <formula1>IFERROR(AND(FIND("@",Field24_ContactEmail,1)&gt;0,FIND(".",Field24_ContactEmail,FIND("@",Field24_ContactEmail,1))&gt;0,LEN(Field24_ContactEmail)-FIND(".",Field24_ContactEmail,FIND("@",Field24_ContactEmail,1))&gt;=2,LEN(Field24_ContactEmail)&lt;=40),FALSE)</formula1>
    </dataValidation>
    <dataValidation type="list" allowBlank="1" showInputMessage="1" showErrorMessage="1" errorTitle="Address Type Error" error="Select an 'Address Type' from the in-cell dropdown list._x000a__x000a_This is a required field." sqref="C18:F18" xr:uid="{00000000-0002-0000-0000-00000A000000}">
      <formula1>Dropdown_AddressType</formula1>
    </dataValidation>
    <dataValidation type="list" allowBlank="1" showInputMessage="1" showErrorMessage="1" errorTitle="Province Entry Error" error="If your address is in Canada, select your 'Province' abbreviation from the in-cell dropdown list. _x000a__x000a_If your address is outside of Canada, select 'Not in Canada' and include your country in the 'Additional Details' field." sqref="C17:D17" xr:uid="{00000000-0002-0000-0000-00000B000000}">
      <formula1>Dropdown_ProvinceAbbr</formula1>
    </dataValidation>
    <dataValidation type="list" allowBlank="1" showInputMessage="1" showErrorMessage="1" errorTitle="Portfolio Entry Error" error="Select a 'Portfolio' from the in-cell dropdown list. " sqref="C21:F21" xr:uid="{00000000-0002-0000-0000-00000C000000}">
      <formula1>Dropdown_SubmittingPortfolio</formula1>
    </dataValidation>
    <dataValidation type="list" allowBlank="1" showInputMessage="1" showErrorMessage="1" errorTitle="Payee Type Entry Error" error="Select a 'Payee Type' from the in-cell dropdown list. _x000a__x000a_If you are submitting as a guest, choose 'Staff &amp; Non-learner'._x000a__x000a_This is a required field." sqref="C22:F22" xr:uid="{00000000-0002-0000-0000-00000D000000}">
      <formula1>Dropdown_PayeeType</formula1>
    </dataValidation>
    <dataValidation type="list" allowBlank="1" showInputMessage="1" showErrorMessage="1" errorTitle="Range Entry Error" error="Select a 'Range' from the in-cell dropdown list. _x000a__x000a_This field is required to help us determine HST rebate eligibility. " sqref="C29:F29" xr:uid="{00000000-0002-0000-0000-00000E000000}">
      <formula1>Dropdown_Range</formula1>
    </dataValidation>
    <dataValidation type="list" allowBlank="1" showInputMessage="1" showErrorMessage="1" errorTitle="Trip Type Entry Error" error="Select a 'Trip Type' from the in-cell dropdown list." sqref="C30:F30" xr:uid="{00000000-0002-0000-0000-00000F000000}">
      <formula1>Dropdown_TripType</formula1>
    </dataValidation>
    <dataValidation type="list" allowBlank="1" showInputMessage="1" showErrorMessage="1" errorTitle="Travel End Date Entry Error" error="Select a 'Travel End Date' from the in-cell dropdown list. _x000a__x000a_The 'Travel End Date' must be no more than 60 days after the 'Travel Start Date'. _x000a__x000a_Ensure that you are submitting seperate travel claims for each travel occurence." sqref="C32:F32" xr:uid="{00000000-0002-0000-0000-000010000000}">
      <formula1>Dropdown_TravelEndDates</formula1>
    </dataValidation>
    <dataValidation type="whole" allowBlank="1" showInputMessage="1" showErrorMessage="1" sqref="H42:I46 J46:L46" xr:uid="{00000000-0002-0000-0000-000011000000}">
      <formula1>100000000000000</formula1>
      <formula2>999999999999990</formula2>
    </dataValidation>
    <dataValidation type="whole" allowBlank="1" showInputMessage="1" showErrorMessage="1" errorTitle="Invalid GL Code" error="Enter a valid 15 digit budget code. _x000a__x000a_The code must be entered without spaces, dashes or any special characters (ie. 102100006300000)." sqref="J42:L45" xr:uid="{00000000-0002-0000-0000-000012000000}">
      <formula1>100000000000000</formula1>
      <formula2>999999999999990</formula2>
    </dataValidation>
    <dataValidation type="textLength" operator="lessThanOrEqual" allowBlank="1" showInputMessage="1" showErrorMessage="1" errorTitle="Description Length Exceded" error="Enter a description that is no more than 30 characters long." sqref="M27:Q37" xr:uid="{00000000-0002-0000-0000-000013000000}">
      <formula1>30</formula1>
    </dataValidation>
    <dataValidation type="whole" allowBlank="1" showInputMessage="1" showErrorMessage="1" errorTitle="KM Error" error="Enter the number of kilometers (km) rounded to the nearest full kilometer. _x000a__x000a_This value should correspond to the 'Kilometer Matrix'. If not included there, support amount with a Goole Map summary." sqref="Y27:Y37" xr:uid="{00000000-0002-0000-0000-000014000000}">
      <formula1>1</formula1>
      <formula2>9999999</formula2>
    </dataValidation>
    <dataValidation type="decimal" allowBlank="1" showInputMessage="1" showErrorMessage="1" errorTitle="Receipt Amount Error" error="Enter the value of the receipt using the format '0.00'. _x000a__x000a_The receipt amount must be greater than zero and should be rounded to the nearest cent." sqref="X27:X37" xr:uid="{00000000-0002-0000-0000-000015000000}">
      <formula1>0.01</formula1>
      <formula2>99999.99</formula2>
    </dataValidation>
    <dataValidation type="textLength" operator="lessThanOrEqual" allowBlank="1" showInputMessage="1" showErrorMessage="1" errorTitle="Details Entry Error" error="Enter a location that is no more than 20 characters long. " sqref="R27:W37" xr:uid="{00000000-0002-0000-0000-000016000000}">
      <formula1>20</formula1>
    </dataValidation>
    <dataValidation type="list" allowBlank="1" showInputMessage="1" showErrorMessage="1" errorTitle="Date Entry Error" error="Select a date from the in-cell dropdown list. _x000a__x000a_The selected date must be between your travel start date and your travel end date." sqref="I27:J37" xr:uid="{00000000-0002-0000-0000-000017000000}">
      <formula1>Dropdown_ReceiptDates</formula1>
    </dataValidation>
    <dataValidation type="textLength" operator="lessThan" allowBlank="1" showInputMessage="1" showErrorMessage="1" errorTitle="Prefix Entry Error" error="Select a 'Prefix' from the in-cell dropdown list._x000a__x000a_This is a required field." sqref="C12:F12" xr:uid="{00000000-0002-0000-0000-000018000000}">
      <formula1>15</formula1>
    </dataValidation>
    <dataValidation type="textLength" operator="lessThanOrEqual" allowBlank="1" showInputMessage="1" showErrorMessage="1" errorTitle="First Name Entry Error" error="Enter a 'First Name' that is no more than 40 characters long. _x000a__x000a_This is a required field." sqref="C13:F13" xr:uid="{00000000-0002-0000-0000-000019000000}">
      <formula1>40</formula1>
    </dataValidation>
    <dataValidation type="textLength" operator="lessThanOrEqual" allowBlank="1" showInputMessage="1" showErrorMessage="1" errorTitle="Last Name Entry Error" error="Enter a 'Last Name' that is no more than 40 characters long. _x000a__x000a_This is a required field." sqref="C14:F14" xr:uid="{00000000-0002-0000-0000-00001A000000}">
      <formula1>40</formula1>
    </dataValidation>
    <dataValidation type="textLength" operator="lessThanOrEqual" allowBlank="1" showInputMessage="1" showErrorMessage="1" errorTitle="Address Entry Error" error="Enter an 'Address' that is no more than 40 characters long. _x000a__x000a_This is a required field._x000a__x000a_If your address is longer than 40 characters, include it as a note in 'Additional Details'." sqref="C15:F15" xr:uid="{00000000-0002-0000-0000-00001B000000}">
      <formula1>40</formula1>
    </dataValidation>
    <dataValidation type="textLength" operator="lessThanOrEqual" allowBlank="1" showInputMessage="1" showErrorMessage="1" errorTitle="City Entry Error" error="Enter a 'City' that is no more than 40 characters long. _x000a__x000a_This is a required field." sqref="C16:F16" xr:uid="{00000000-0002-0000-0000-00001C000000}">
      <formula1>40</formula1>
    </dataValidation>
    <dataValidation type="custom" operator="equal" allowBlank="1" showInputMessage="1" showErrorMessage="1" errorTitle="Postal Code Entry Error" error="Enter a valid Canadian postal code that is 7 characters in length and in the format &quot;&amp;#&amp; #&amp;#&quot; (where &amp; is a letter and # is a digit). Also ensure the space is included._x000a__x000a_Please press ENTER or TAB to submit the value. " sqref="E17:F17" xr:uid="{00000000-0002-0000-0000-00001D000000}">
      <formula1>PostalValidated=TRUE</formula1>
    </dataValidation>
    <dataValidation type="whole" allowBlank="1" showInputMessage="1" showErrorMessage="1" errorTitle="Phone # Entry Error" error="Enter a 10 digit phone number._x000a__x000a_Enter the number only without any spaces or special characters (ie. 1234567890)._x000a__x000a_The field will format automatically to '(123) 456-7890'." sqref="E20:F20" xr:uid="{00000000-0002-0000-0000-00001E000000}">
      <formula1>1000000000</formula1>
      <formula2>9999999999</formula2>
    </dataValidation>
    <dataValidation type="textLength" operator="lessThanOrEqual" allowBlank="1" showInputMessage="1" showErrorMessage="1" errorTitle="Leaving From Entry Error" error="Enter a 'Leaving From' location that is no more than 40 characters." sqref="C27:F27" xr:uid="{00000000-0002-0000-0000-00001F000000}">
      <formula1>40</formula1>
    </dataValidation>
    <dataValidation type="textLength" operator="lessThanOrEqual" allowBlank="1" showInputMessage="1" showErrorMessage="1" errorTitle="Going To Entry Error" error="Enter a 'Going To' location that is no more than 40 characters." sqref="C28:F28" xr:uid="{00000000-0002-0000-0000-000020000000}">
      <formula1>40</formula1>
    </dataValidation>
    <dataValidation type="date" operator="greaterThan" allowBlank="1" showInputMessage="1" showErrorMessage="1" errorTitle="Travel Start Date Entry Error" error="Enter a 'Travel Start Date' in any format recognizable by Excel. This field must be a date value._x000a__x000a_For example, it could be entered in full (ie. January 1, 2000) or it can be entered as DD/MM/YYYY or YYYY/MM/DD." sqref="C31:F31" xr:uid="{00000000-0002-0000-0000-000021000000}">
      <formula1>DATE(2000,1,1)</formula1>
    </dataValidation>
    <dataValidation type="list" allowBlank="1" showInputMessage="1" showErrorMessage="1" errorTitle="Claim Type Entry Error" error="Select a 'Claim Type' from the in-cell dropdown list. " sqref="C35:F35" xr:uid="{00000000-0002-0000-0000-000022000000}">
      <formula1>Dropdown_ClaimType</formula1>
    </dataValidation>
    <dataValidation type="decimal" operator="greaterThan" allowBlank="1" showInputMessage="1" showErrorMessage="1" errorTitle="Advance Amount Entry Error" error="Enter an 'Advance Amount' that is greater than zero." sqref="C36:F36" xr:uid="{00000000-0002-0000-0000-000023000000}">
      <formula1>0</formula1>
    </dataValidation>
    <dataValidation type="textLength" operator="lessThanOrEqual" allowBlank="1" showInputMessage="1" showErrorMessage="1" errorTitle="Description Entry Error" error="Enter an explanation of why the travel is occurring. _x000a__x000a_The 'Description' is limited to 100 characters." sqref="H13:M14" xr:uid="{00000000-0002-0000-0000-000024000000}">
      <formula1>100</formula1>
    </dataValidation>
    <dataValidation type="textLength" operator="lessThanOrEqual" allowBlank="1" showInputMessage="1" showErrorMessage="1" errorTitle="Additional Details Entry Error" error="Enter any additional details that may help clarify your claim. _x000a__x000a_This is a free text field that is limited to 150 characters." sqref="H16:M18" xr:uid="{00000000-0002-0000-0000-000025000000}">
      <formula1>150</formula1>
    </dataValidation>
    <dataValidation type="textLength" operator="lessThanOrEqual" allowBlank="1" showInputMessage="1" showErrorMessage="1" errorTitle="Contact Name Entry Error" error="Enter the first and last name for the contact for this claim if different than the 'Payee'._x000a__x000a_This field is limited to 40 characters." sqref="J21:M21" xr:uid="{00000000-0002-0000-0000-000026000000}">
      <formula1>40</formula1>
    </dataValidation>
    <dataValidation type="whole" allowBlank="1" showInputMessage="1" showErrorMessage="1" errorTitle="Phone # Entry Error" error="Enter the 10 digit phone number of the 'Contact'._x000a__x000a_Enter the number only without any spaces or special characters (ie. 1234567890)._x000a__x000a_The field will format automatically to '(123) 456-7890'." sqref="J23:M23" xr:uid="{00000000-0002-0000-0000-000027000000}">
      <formula1>1000000000</formula1>
      <formula2>9999999999</formula2>
    </dataValidation>
    <dataValidation type="decimal" allowBlank="1" showInputMessage="1" showErrorMessage="1" errorTitle="Meal Amount Entry Error" error="Enter a 'Meal Amount' greater than zero in the format  '0.00'._x000a__x000a_If this expense was incurred in a foreign currency, list the Canadian equivalent here and include support of the exchance rate in your documentation." sqref="R13:U22" xr:uid="{00000000-0002-0000-0000-000028000000}">
      <formula1>0.001</formula1>
      <formula2>99999.99</formula2>
    </dataValidation>
    <dataValidation type="decimal" allowBlank="1" showInputMessage="1" showErrorMessage="1" errorTitle="Maximum Amount Entry Error" error="Enter a 'Maximum Amount' greater than zero in the format '0.00'. _x000a__x000a_Ensure that the 'Maximum Amount' is less than the 'Total Expenses Claimed'." sqref="F42" xr:uid="{00000000-0002-0000-0000-000029000000}">
      <formula1>0.001</formula1>
      <formula2>99999.99</formula2>
    </dataValidation>
    <dataValidation type="textLength" operator="lessThanOrEqual" allowBlank="1" showInputMessage="1" showErrorMessage="1" errorTitle="Reason Entry Error" error="Enter a 'Reason' that is no more than 80 characters. _x000a__x000a_This field is to explain why a 'Maximum Amount' has been applied." sqref="C43:F44" xr:uid="{00000000-0002-0000-0000-00002A000000}">
      <formula1>80</formula1>
    </dataValidation>
    <dataValidation type="decimal" allowBlank="1" showInputMessage="1" showErrorMessage="1" errorTitle="Allocation Amount Entry Error" error="Enter an 'Allocation Amount' that is greater than zero in the format '0.00'._x000a__x000a_The 'Total Expenses Eligible' needs to be exhaustively allocated to a valid GL code." sqref="M42:N45" xr:uid="{00000000-0002-0000-0000-00002B000000}">
      <formula1>0.001</formula1>
      <formula2>99999.99</formula2>
    </dataValidation>
    <dataValidation type="textLength" operator="lessThanOrEqual" allowBlank="1" showInputMessage="1" showErrorMessage="1" errorTitle="Approver Name Entry Error" error="Enter the first and last name of the approver. _x000a__x000a_This is a free text field limited to 100 characters." sqref="R46:T48" xr:uid="{00000000-0002-0000-0000-00002C000000}">
      <formula1>100</formula1>
    </dataValidation>
    <dataValidation type="date" operator="greaterThanOrEqual" allowBlank="1" showInputMessage="1" showErrorMessage="1" errorTitle="Approval Date Entry Error" error="Enter an 'Approval Date' that is equal to or greater than the 'Submission Date'." sqref="U46:W48" xr:uid="{00000000-0002-0000-0000-00002D000000}">
      <formula1>Authorization_SubmissionDate</formula1>
    </dataValidation>
  </dataValidations>
  <printOptions horizontalCentered="1" verticalCentered="1"/>
  <pageMargins left="0.11811023622047245" right="0.11811023622047245" top="0.11811023622047245" bottom="0.11811023622047245" header="0" footer="0"/>
  <pageSetup scale="60" fitToHeight="0" orientation="landscape" r:id="rId1"/>
  <headerFooter>
    <oddFooter>&amp;R&amp;"Arial,Regular"&amp;8Original Print Date: &amp;D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8" stopIfTrue="1" id="{663A69D3-955A-4D04-B4F3-25FB4122DDB0}">
            <xm:f>VLOOKUP(TRUE,Lookup_Error,MATCH('Error List'!$O$6,Lookup_ErrorHeaders,0),FALSE)</xm:f>
            <x14:dxf>
              <fill>
                <patternFill>
                  <bgColor rgb="FFFF4B4B"/>
                </patternFill>
              </fill>
            </x14:dxf>
          </x14:cfRule>
          <xm:sqref>C1</xm:sqref>
        </x14:conditionalFormatting>
        <x14:conditionalFormatting xmlns:xm="http://schemas.microsoft.com/office/excel/2006/main">
          <x14:cfRule type="expression" priority="60" stopIfTrue="1" id="{A523E523-312A-4F03-B1F2-1957806AD5FE}">
            <xm:f>VLOOKUP(TRUE,Lookup_Error,MATCH('Error List'!$S$6,Lookup_ErrorHeaders,0),FALSE)</xm:f>
            <x14:dxf>
              <fill>
                <patternFill>
                  <bgColor rgb="FFFFFF99"/>
                </patternFill>
              </fill>
            </x14:dxf>
          </x14:cfRule>
          <xm:sqref>C3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2:O18"/>
  <sheetViews>
    <sheetView workbookViewId="0">
      <selection activeCell="C2" sqref="C2"/>
    </sheetView>
  </sheetViews>
  <sheetFormatPr defaultRowHeight="15" x14ac:dyDescent="0.25"/>
  <cols>
    <col min="1" max="1" width="26.28515625" style="30" bestFit="1" customWidth="1"/>
    <col min="2" max="2" width="141.5703125" style="30" customWidth="1"/>
    <col min="3" max="3" width="2.85546875" style="30" customWidth="1"/>
    <col min="4" max="4" width="80.85546875" bestFit="1" customWidth="1"/>
    <col min="5" max="6" width="13.28515625" customWidth="1"/>
    <col min="7" max="7" width="38.28515625" customWidth="1"/>
    <col min="8" max="8" width="13.28515625" customWidth="1"/>
    <col min="9" max="9" width="13.28515625" style="30" customWidth="1"/>
    <col min="10" max="10" width="38.28515625" customWidth="1"/>
    <col min="11" max="11" width="18.7109375" customWidth="1"/>
    <col min="13" max="13" width="38.28515625" customWidth="1"/>
    <col min="14" max="14" width="13.140625" bestFit="1" customWidth="1"/>
  </cols>
  <sheetData>
    <row r="2" spans="1:15" x14ac:dyDescent="0.25">
      <c r="A2" s="157" t="s">
        <v>1277</v>
      </c>
      <c r="B2" s="26" t="b">
        <f ca="1">OR(COUNTIFS(Table_ErrorList[Error Evaluation],TRUE,Table_ErrorList[Section '#],"98")&gt;0,COUNTIFS(Table_ErrorList[Error Evaluation],TRUE,Table_ErrorList[Section '#],"99")&gt;0)</f>
        <v>1</v>
      </c>
      <c r="C2" s="30" t="s">
        <v>1278</v>
      </c>
      <c r="D2" s="30"/>
      <c r="E2" s="30"/>
      <c r="F2" s="30"/>
      <c r="G2" s="30"/>
      <c r="H2" s="30"/>
      <c r="J2" s="30"/>
      <c r="K2" s="30"/>
      <c r="L2" s="30"/>
      <c r="M2" s="30"/>
      <c r="N2" s="30"/>
      <c r="O2" s="30"/>
    </row>
    <row r="3" spans="1:15" ht="15" customHeight="1" x14ac:dyDescent="0.25">
      <c r="A3" s="361" t="s">
        <v>1279</v>
      </c>
      <c r="B3" s="362" t="str">
        <f ca="1">IF($B$2=TRUE,CONCATENATE($B$7,CHAR(10),$B$8,CHAR(10),$B$9),"- - - - - -")</f>
        <v>For Ms. Hailey Masiero's domestic round-trip travel from Toronto to Thunder Bay
From April 1, 2019 to May 24, 2019 (54 days, 53 nights)
For: 'Completing a University of Toronto RS Clinical Placement'</v>
      </c>
      <c r="D3" s="30"/>
      <c r="E3" s="30"/>
      <c r="F3" s="30"/>
      <c r="G3" s="30"/>
      <c r="H3" s="30"/>
      <c r="J3" s="30"/>
      <c r="K3" s="30"/>
      <c r="L3" s="30"/>
      <c r="M3" s="30"/>
      <c r="N3" s="30"/>
      <c r="O3" s="30"/>
    </row>
    <row r="4" spans="1:15" x14ac:dyDescent="0.25">
      <c r="A4" s="361"/>
      <c r="B4" s="362"/>
      <c r="D4" s="30"/>
      <c r="E4" s="74" t="s">
        <v>1280</v>
      </c>
      <c r="F4" s="30"/>
      <c r="G4" s="30"/>
      <c r="H4" s="30"/>
      <c r="J4" s="30"/>
      <c r="K4" s="30"/>
      <c r="L4" s="30"/>
      <c r="M4" s="30"/>
      <c r="N4" s="30"/>
      <c r="O4" s="30"/>
    </row>
    <row r="5" spans="1:15" x14ac:dyDescent="0.25">
      <c r="A5" s="361"/>
      <c r="B5" s="362"/>
      <c r="D5" s="30"/>
      <c r="E5" s="75">
        <v>85</v>
      </c>
      <c r="F5" s="30"/>
      <c r="G5" s="30"/>
      <c r="H5" s="30"/>
      <c r="J5" s="30"/>
      <c r="K5" s="30"/>
      <c r="L5" s="30"/>
      <c r="M5" s="30"/>
      <c r="N5" s="30"/>
      <c r="O5" s="30"/>
    </row>
    <row r="6" spans="1:15" x14ac:dyDescent="0.25">
      <c r="D6" s="77" t="s">
        <v>1281</v>
      </c>
      <c r="E6" s="76" t="s">
        <v>1282</v>
      </c>
      <c r="F6" s="73" t="s">
        <v>1283</v>
      </c>
      <c r="G6" s="73" t="s">
        <v>1284</v>
      </c>
      <c r="H6" s="73" t="s">
        <v>1285</v>
      </c>
      <c r="I6" s="73" t="s">
        <v>1286</v>
      </c>
      <c r="J6" s="73" t="s">
        <v>1287</v>
      </c>
      <c r="K6" s="73" t="s">
        <v>1288</v>
      </c>
      <c r="L6" s="73" t="s">
        <v>1286</v>
      </c>
      <c r="M6" s="73" t="s">
        <v>1289</v>
      </c>
      <c r="N6" s="73" t="s">
        <v>1290</v>
      </c>
      <c r="O6" s="73" t="s">
        <v>1286</v>
      </c>
    </row>
    <row r="7" spans="1:15" ht="42" customHeight="1" x14ac:dyDescent="0.25">
      <c r="A7" s="79" t="s">
        <v>1291</v>
      </c>
      <c r="B7" s="80" t="str">
        <f>IF(O7=TRUE,"",IF(L7=TRUE,M7,IF(I7=TRUE,J7,IF(E7=TRUE,G7,D7))))</f>
        <v>For Ms. Hailey Masiero's domestic round-trip travel from Toronto to Thunder Bay</v>
      </c>
      <c r="C7" s="81"/>
      <c r="D7" s="80" t="str">
        <f>CONCATENATE("For ",IF(ISBLANK(Field01_Prefix)=FALSE,TRIM(PROPER(Field01_Prefix))&amp;" ",""),TRIM(PROPER(Field02_FirstName))," ",TRIM(PROPER(Field03_LastName)),IF(RIGHT(Field03_LastName,1)="s","' ","'s "),TRIM(LOWER(LEFT(Field13_TravelScope,IFERROR(FIND(" ",Field13_TravelScope,1)-1,LEN(Field13_TravelScope)))))," ",TRIM(LOWER(Field14_TripType))," travel from ",PROPER(TRIM(Field11_DepartureCity))," to ",PROPER(TRIM(Field12_DestinationCity)))</f>
        <v>For Ms. Hailey Masiero's domestic round-trip travel from Toronto to Thunder Bay</v>
      </c>
      <c r="E7" s="82" t="b">
        <f>F7&gt;$E$5</f>
        <v>0</v>
      </c>
      <c r="F7" s="78">
        <f>LEN(D7)</f>
        <v>79</v>
      </c>
      <c r="G7" s="80" t="str">
        <f>REPLACE(D7,SEARCH(LOWER(LEFT(Field13_TravelScope,IFERROR(FIND(" ",Field13_TravelScope,1)-1,LEN(Field13_TravelScope))))&amp;" ",D7),LEN(LOWER(LEFT(Field13_TravelScope,IFERROR(FIND(" ",Field13_TravelScope,1)-1,LEN(Field13_TravelScope))))&amp;" "),"")</f>
        <v>For Ms. Hailey Masiero's round-trip travel from Toronto to Thunder Bay</v>
      </c>
      <c r="H7" s="83">
        <f>LEN(G7)</f>
        <v>70</v>
      </c>
      <c r="I7" s="83" t="b">
        <f>H7&gt;$E$5</f>
        <v>0</v>
      </c>
      <c r="J7" s="80" t="str">
        <f>IF(I7=TRUE,REPLACE(G7,SEARCH(Field14_TripType&amp;" ",G7),LEN(Field14_TripType&amp;" "),""),"")</f>
        <v/>
      </c>
      <c r="K7" s="78">
        <f>LEN(J7)</f>
        <v>0</v>
      </c>
      <c r="L7" s="78" t="b">
        <f>K7&gt;$E$5</f>
        <v>0</v>
      </c>
      <c r="M7" s="80" t="str">
        <f>IF(L7=TRUE,REPLACE(J7,SEARCH(" from ",J7),LEN(J7)-SEARCH(" from ",J7)+1,""),"")</f>
        <v/>
      </c>
      <c r="N7" s="78">
        <f>LEN(M7)</f>
        <v>0</v>
      </c>
      <c r="O7" s="78" t="b">
        <f>N7&gt;$E$5</f>
        <v>0</v>
      </c>
    </row>
    <row r="8" spans="1:15" ht="42" customHeight="1" x14ac:dyDescent="0.25">
      <c r="A8" s="79" t="s">
        <v>1292</v>
      </c>
      <c r="B8" s="80" t="str">
        <f>IF(O8=TRUE,"",IF(L8=TRUE,M8,IF(I8=TRUE,J8,IF(E8=TRUE,G8,D8))))</f>
        <v>From April 1, 2019 to May 24, 2019 (54 days, 53 nights)</v>
      </c>
      <c r="C8" s="81"/>
      <c r="D8" s="80" t="str">
        <f>CONCATENATE("From ",
TEXT(Field15_TravelStartDate,"mmmm d, yyyy"),
" to ",
TEXT(Field16_TravelEndDate,"mmmm d, yyyy"),
" (",
TEXT(Field16_TravelEndDate-Field15_TravelStartDate+1,0),
" days, ",
TEXT(Field16_TravelEndDate-Field15_TravelStartDate,0),
" nights)")</f>
        <v>From April 1, 2019 to May 24, 2019 (54 days, 53 nights)</v>
      </c>
      <c r="E8" s="82" t="b">
        <f>F8&gt;$E$5</f>
        <v>0</v>
      </c>
      <c r="F8" s="78">
        <f>LEN(D8)</f>
        <v>55</v>
      </c>
      <c r="G8" s="80"/>
      <c r="H8" s="83">
        <f t="shared" ref="H8:H9" si="0">LEN(G8)</f>
        <v>0</v>
      </c>
      <c r="I8" s="83" t="b">
        <f t="shared" ref="I8:I9" si="1">H8&gt;$E$5</f>
        <v>0</v>
      </c>
      <c r="J8" s="80"/>
      <c r="K8" s="78">
        <f t="shared" ref="K8:K9" si="2">LEN(J8)</f>
        <v>0</v>
      </c>
      <c r="L8" s="78" t="b">
        <f t="shared" ref="L8:L9" si="3">K8&gt;$E$5</f>
        <v>0</v>
      </c>
      <c r="M8" s="80"/>
      <c r="N8" s="78"/>
      <c r="O8" s="78"/>
    </row>
    <row r="9" spans="1:15" ht="42" customHeight="1" x14ac:dyDescent="0.25">
      <c r="A9" s="79" t="s">
        <v>1293</v>
      </c>
      <c r="B9" s="80" t="str">
        <f>IF(O9=TRUE,"",IF(L9=TRUE,M9,IF(I9=TRUE,J9,IF(E9=TRUE,G9,D9))))</f>
        <v>For: 'Completing a University of Toronto RS Clinical Placement'</v>
      </c>
      <c r="C9" s="81"/>
      <c r="D9" s="80" t="str">
        <f>CONCATENATE("For: ","'",Field21_Description,"'")</f>
        <v>For: 'Completing a University of Toronto RS Clinical Placement'</v>
      </c>
      <c r="E9" s="82" t="b">
        <f>F9&gt;$E$5</f>
        <v>0</v>
      </c>
      <c r="F9" s="78">
        <f>LEN(D9)</f>
        <v>63</v>
      </c>
      <c r="G9" s="80"/>
      <c r="H9" s="83">
        <f t="shared" si="0"/>
        <v>0</v>
      </c>
      <c r="I9" s="83" t="b">
        <f t="shared" si="1"/>
        <v>0</v>
      </c>
      <c r="J9" s="80"/>
      <c r="K9" s="78">
        <f t="shared" si="2"/>
        <v>0</v>
      </c>
      <c r="L9" s="78" t="b">
        <f t="shared" si="3"/>
        <v>0</v>
      </c>
      <c r="M9" s="80"/>
      <c r="N9" s="78"/>
      <c r="O9" s="78"/>
    </row>
    <row r="14" spans="1:15" x14ac:dyDescent="0.25">
      <c r="D14" s="30"/>
      <c r="E14" s="30"/>
      <c r="F14" s="30"/>
      <c r="G14" s="30"/>
      <c r="H14" s="30"/>
      <c r="J14" s="30"/>
      <c r="K14" s="30"/>
      <c r="L14" s="30"/>
      <c r="M14" s="30"/>
      <c r="N14" s="30"/>
      <c r="O14" s="30"/>
    </row>
    <row r="18" spans="4:4" x14ac:dyDescent="0.25">
      <c r="D18" s="30"/>
    </row>
  </sheetData>
  <sheetProtection password="EDC4" sheet="1" objects="1" scenarios="1" selectLockedCells="1" selectUnlockedCells="1"/>
  <mergeCells count="2">
    <mergeCell ref="A3:A5"/>
    <mergeCell ref="B3:B5"/>
  </mergeCells>
  <conditionalFormatting sqref="B2">
    <cfRule type="cellIs" dxfId="0" priority="1" operator="equal">
      <formula>TRUE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B2:B25"/>
  <sheetViews>
    <sheetView workbookViewId="0">
      <selection activeCell="B4" sqref="B4"/>
    </sheetView>
  </sheetViews>
  <sheetFormatPr defaultRowHeight="15" x14ac:dyDescent="0.25"/>
  <sheetData>
    <row r="2" spans="2:2" ht="15.75" x14ac:dyDescent="0.25">
      <c r="B2" s="94" t="s">
        <v>1294</v>
      </c>
    </row>
    <row r="3" spans="2:2" ht="15.75" x14ac:dyDescent="0.25">
      <c r="B3" s="33"/>
    </row>
    <row r="4" spans="2:2" ht="15.75" x14ac:dyDescent="0.25">
      <c r="B4" s="33" t="s">
        <v>1295</v>
      </c>
    </row>
    <row r="5" spans="2:2" ht="15.75" x14ac:dyDescent="0.25">
      <c r="B5" s="122"/>
    </row>
    <row r="7" spans="2:2" ht="15.75" x14ac:dyDescent="0.25">
      <c r="B7" s="122"/>
    </row>
    <row r="8" spans="2:2" s="30" customFormat="1" ht="15.75" x14ac:dyDescent="0.25">
      <c r="B8" s="122"/>
    </row>
    <row r="9" spans="2:2" s="30" customFormat="1" x14ac:dyDescent="0.25"/>
    <row r="10" spans="2:2" s="30" customFormat="1" ht="15.75" x14ac:dyDescent="0.25">
      <c r="B10" s="122"/>
    </row>
    <row r="11" spans="2:2" s="30" customFormat="1" ht="15.75" x14ac:dyDescent="0.25">
      <c r="B11" s="122"/>
    </row>
    <row r="13" spans="2:2" ht="15.75" x14ac:dyDescent="0.25">
      <c r="B13" s="33"/>
    </row>
    <row r="14" spans="2:2" ht="15.75" x14ac:dyDescent="0.25">
      <c r="B14" s="33"/>
    </row>
    <row r="25" spans="2:2" ht="15.75" x14ac:dyDescent="0.25">
      <c r="B25" s="122"/>
    </row>
  </sheetData>
  <sheetProtection password="EDC4"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B300"/>
  </sheetPr>
  <dimension ref="A1:N119"/>
  <sheetViews>
    <sheetView showGridLines="0" workbookViewId="0">
      <pane ySplit="13" topLeftCell="A51" activePane="bottomLeft" state="frozen"/>
      <selection pane="bottomLeft" activeCell="D3" sqref="D3:E3"/>
    </sheetView>
  </sheetViews>
  <sheetFormatPr defaultRowHeight="18" x14ac:dyDescent="0.25"/>
  <cols>
    <col min="1" max="1" width="42.42578125" style="123" customWidth="1"/>
    <col min="2" max="8" width="21.42578125" style="123" customWidth="1"/>
    <col min="9" max="9" width="21.140625" style="123" customWidth="1"/>
    <col min="10" max="10" width="24.85546875" style="123" customWidth="1"/>
    <col min="11" max="11" width="12.28515625" style="123" bestFit="1" customWidth="1"/>
    <col min="12" max="12" width="14" style="123" bestFit="1" customWidth="1"/>
    <col min="13" max="16384" width="9.140625" style="123"/>
  </cols>
  <sheetData>
    <row r="1" spans="1:11" x14ac:dyDescent="0.25">
      <c r="A1" s="139"/>
      <c r="B1" s="139"/>
      <c r="C1" s="139"/>
      <c r="D1" s="139"/>
      <c r="E1" s="139"/>
      <c r="F1" s="139"/>
      <c r="G1" s="139"/>
      <c r="H1" s="139"/>
    </row>
    <row r="2" spans="1:11" ht="20.25" x14ac:dyDescent="0.25">
      <c r="A2" s="344" t="s">
        <v>90</v>
      </c>
      <c r="B2" s="338" t="s">
        <v>91</v>
      </c>
      <c r="C2" s="338"/>
      <c r="D2" s="338" t="s">
        <v>92</v>
      </c>
      <c r="E2" s="338"/>
      <c r="F2" s="154" t="s">
        <v>93</v>
      </c>
      <c r="G2" s="154" t="s">
        <v>61</v>
      </c>
      <c r="H2" s="139"/>
      <c r="I2" s="30"/>
      <c r="J2" s="30"/>
      <c r="K2" s="30"/>
    </row>
    <row r="3" spans="1:11" ht="42" customHeight="1" x14ac:dyDescent="0.25">
      <c r="A3" s="345"/>
      <c r="B3" s="346" t="s">
        <v>50</v>
      </c>
      <c r="C3" s="347"/>
      <c r="D3" s="339" t="s">
        <v>47</v>
      </c>
      <c r="E3" s="340"/>
      <c r="F3" s="129">
        <f>IF(OR($B$3=Dropdown_NotSelectedValue,$D$3=Dropdown_NotSelectedValue),"- - -",INDEX(Table_KMMatrix[],MATCH($B$3,Table_KMMatrix[Community],0),MATCH($D$3,Table_KMMatrix[#Headers],0)))</f>
        <v>1405</v>
      </c>
      <c r="G3" s="129">
        <f>IFERROR($F$3*2,$F$3)</f>
        <v>2810</v>
      </c>
      <c r="H3" s="139"/>
      <c r="I3" s="30"/>
      <c r="J3" s="30"/>
      <c r="K3" s="30"/>
    </row>
    <row r="4" spans="1:11" ht="8.25" customHeight="1" x14ac:dyDescent="0.25">
      <c r="A4" s="139"/>
      <c r="B4" s="139"/>
      <c r="C4" s="139"/>
      <c r="D4" s="139"/>
      <c r="E4" s="139"/>
      <c r="F4" s="139"/>
      <c r="G4" s="139"/>
      <c r="H4" s="139"/>
    </row>
    <row r="5" spans="1:11" ht="35.25" x14ac:dyDescent="0.5">
      <c r="A5" s="141" t="s">
        <v>94</v>
      </c>
      <c r="B5" s="139"/>
      <c r="C5" s="139"/>
      <c r="D5" s="139"/>
      <c r="E5" s="139"/>
      <c r="F5" s="139"/>
      <c r="G5" s="139"/>
      <c r="H5" s="139"/>
    </row>
    <row r="6" spans="1:11" ht="8.25" customHeight="1" x14ac:dyDescent="0.25">
      <c r="A6" s="139"/>
      <c r="B6" s="139"/>
      <c r="C6" s="139"/>
      <c r="D6" s="139"/>
      <c r="E6" s="139"/>
      <c r="F6" s="139"/>
      <c r="G6" s="139"/>
      <c r="H6" s="139"/>
    </row>
    <row r="7" spans="1:11" x14ac:dyDescent="0.25">
      <c r="A7" s="142" t="s">
        <v>95</v>
      </c>
      <c r="B7" s="143"/>
      <c r="C7" s="143"/>
      <c r="D7" s="143"/>
      <c r="E7" s="143"/>
      <c r="F7" s="143"/>
      <c r="G7" s="143"/>
      <c r="H7" s="143"/>
    </row>
    <row r="8" spans="1:11" x14ac:dyDescent="0.25">
      <c r="A8" s="142" t="s">
        <v>96</v>
      </c>
      <c r="B8" s="143"/>
      <c r="C8" s="143"/>
      <c r="D8" s="143"/>
      <c r="E8" s="143"/>
      <c r="F8" s="143"/>
      <c r="G8" s="143"/>
      <c r="H8" s="143"/>
    </row>
    <row r="9" spans="1:11" ht="8.25" customHeight="1" x14ac:dyDescent="0.25">
      <c r="A9" s="139"/>
      <c r="B9" s="139"/>
      <c r="C9" s="139"/>
      <c r="D9" s="139"/>
      <c r="E9" s="139"/>
      <c r="F9" s="139"/>
      <c r="G9" s="139"/>
      <c r="H9" s="139"/>
    </row>
    <row r="10" spans="1:11" x14ac:dyDescent="0.25">
      <c r="A10" s="144" t="s">
        <v>97</v>
      </c>
      <c r="B10" s="140" t="str">
        <f>HYPERLINK("https://maps.google.ca/")</f>
        <v>https://maps.google.ca/</v>
      </c>
      <c r="C10" s="139"/>
      <c r="D10" s="139"/>
      <c r="E10" s="139"/>
      <c r="F10" s="139"/>
      <c r="G10" s="139"/>
      <c r="H10" s="139"/>
    </row>
    <row r="11" spans="1:11" ht="8.25" customHeight="1" x14ac:dyDescent="0.25">
      <c r="A11" s="139"/>
      <c r="B11" s="139"/>
      <c r="C11" s="139"/>
      <c r="D11" s="139"/>
      <c r="E11" s="139"/>
      <c r="F11" s="139"/>
      <c r="G11" s="139"/>
      <c r="H11" s="139"/>
    </row>
    <row r="12" spans="1:11" ht="27.75" x14ac:dyDescent="0.4">
      <c r="B12" s="341" t="s">
        <v>92</v>
      </c>
      <c r="C12" s="342"/>
      <c r="D12" s="342"/>
      <c r="E12" s="342"/>
      <c r="F12" s="342"/>
      <c r="G12" s="342"/>
      <c r="H12" s="343"/>
    </row>
    <row r="13" spans="1:11" ht="38.25" customHeight="1" x14ac:dyDescent="0.25">
      <c r="A13" s="127" t="s">
        <v>91</v>
      </c>
      <c r="B13" s="125" t="s">
        <v>98</v>
      </c>
      <c r="C13" s="125" t="s">
        <v>99</v>
      </c>
      <c r="D13" s="125" t="s">
        <v>100</v>
      </c>
      <c r="E13" s="125" t="s">
        <v>101</v>
      </c>
      <c r="F13" s="125" t="s">
        <v>102</v>
      </c>
      <c r="G13" s="128" t="s">
        <v>50</v>
      </c>
      <c r="H13" s="126" t="s">
        <v>47</v>
      </c>
    </row>
    <row r="14" spans="1:11" x14ac:dyDescent="0.25">
      <c r="A14" s="145" t="s">
        <v>103</v>
      </c>
      <c r="B14" s="147">
        <v>1625</v>
      </c>
      <c r="C14" s="147">
        <v>1735</v>
      </c>
      <c r="D14" s="147">
        <v>1750</v>
      </c>
      <c r="E14" s="147">
        <v>1645</v>
      </c>
      <c r="F14" s="147">
        <v>1200</v>
      </c>
      <c r="G14" s="147">
        <v>205</v>
      </c>
      <c r="H14" s="148">
        <v>1585</v>
      </c>
    </row>
    <row r="15" spans="1:11" x14ac:dyDescent="0.25">
      <c r="A15" s="145" t="s">
        <v>104</v>
      </c>
      <c r="B15" s="147">
        <v>735</v>
      </c>
      <c r="C15" s="147">
        <v>925</v>
      </c>
      <c r="D15" s="147">
        <v>835</v>
      </c>
      <c r="E15" s="147">
        <v>785</v>
      </c>
      <c r="F15" s="147">
        <v>310</v>
      </c>
      <c r="G15" s="147">
        <v>700</v>
      </c>
      <c r="H15" s="148">
        <v>695</v>
      </c>
    </row>
    <row r="16" spans="1:11" x14ac:dyDescent="0.25">
      <c r="A16" s="145" t="s">
        <v>105</v>
      </c>
      <c r="B16" s="147">
        <v>595</v>
      </c>
      <c r="C16" s="147">
        <v>790</v>
      </c>
      <c r="D16" s="147">
        <v>700</v>
      </c>
      <c r="E16" s="147">
        <v>650</v>
      </c>
      <c r="F16" s="147">
        <v>175</v>
      </c>
      <c r="G16" s="147">
        <v>840</v>
      </c>
      <c r="H16" s="148">
        <v>540</v>
      </c>
    </row>
    <row r="17" spans="1:14" x14ac:dyDescent="0.25">
      <c r="A17" s="145" t="s">
        <v>106</v>
      </c>
      <c r="B17" s="147">
        <v>240</v>
      </c>
      <c r="C17" s="147">
        <v>360</v>
      </c>
      <c r="D17" s="147">
        <v>340</v>
      </c>
      <c r="E17" s="147">
        <v>370</v>
      </c>
      <c r="F17" s="147">
        <v>250</v>
      </c>
      <c r="G17" s="147">
        <v>1235</v>
      </c>
      <c r="H17" s="148">
        <v>200</v>
      </c>
    </row>
    <row r="18" spans="1:14" x14ac:dyDescent="0.25">
      <c r="A18" s="145" t="s">
        <v>107</v>
      </c>
      <c r="B18" s="147">
        <v>310</v>
      </c>
      <c r="C18" s="147">
        <v>430</v>
      </c>
      <c r="D18" s="147">
        <v>415</v>
      </c>
      <c r="E18" s="147">
        <v>380</v>
      </c>
      <c r="F18" s="147">
        <v>220</v>
      </c>
      <c r="G18" s="147">
        <v>1185</v>
      </c>
      <c r="H18" s="148">
        <v>275</v>
      </c>
    </row>
    <row r="19" spans="1:14" x14ac:dyDescent="0.25">
      <c r="A19" s="145" t="s">
        <v>108</v>
      </c>
      <c r="B19" s="147">
        <v>385</v>
      </c>
      <c r="C19" s="147">
        <v>500</v>
      </c>
      <c r="D19" s="147">
        <v>490</v>
      </c>
      <c r="E19" s="147">
        <v>355</v>
      </c>
      <c r="F19" s="147">
        <v>145</v>
      </c>
      <c r="G19" s="147">
        <v>1110</v>
      </c>
      <c r="H19" s="148">
        <v>330</v>
      </c>
    </row>
    <row r="20" spans="1:14" x14ac:dyDescent="0.25">
      <c r="A20" s="145" t="s">
        <v>109</v>
      </c>
      <c r="B20" s="147">
        <v>770</v>
      </c>
      <c r="C20" s="147">
        <v>825</v>
      </c>
      <c r="D20" s="147">
        <v>875</v>
      </c>
      <c r="E20" s="147">
        <v>730</v>
      </c>
      <c r="F20" s="147">
        <v>405</v>
      </c>
      <c r="G20" s="147">
        <v>730</v>
      </c>
      <c r="H20" s="148">
        <v>715</v>
      </c>
    </row>
    <row r="21" spans="1:14" x14ac:dyDescent="0.25">
      <c r="A21" s="145" t="s">
        <v>110</v>
      </c>
      <c r="B21" s="147">
        <v>1025</v>
      </c>
      <c r="C21" s="147">
        <v>1075</v>
      </c>
      <c r="D21" s="147">
        <v>1130</v>
      </c>
      <c r="E21" s="147">
        <v>985</v>
      </c>
      <c r="F21" s="147">
        <v>605</v>
      </c>
      <c r="G21" s="147">
        <v>490</v>
      </c>
      <c r="H21" s="148">
        <v>985</v>
      </c>
    </row>
    <row r="22" spans="1:14" x14ac:dyDescent="0.25">
      <c r="A22" s="145" t="s">
        <v>111</v>
      </c>
      <c r="B22" s="147">
        <v>1770</v>
      </c>
      <c r="C22" s="147">
        <v>1880</v>
      </c>
      <c r="D22" s="147">
        <v>1875</v>
      </c>
      <c r="E22" s="147">
        <v>1790</v>
      </c>
      <c r="F22" s="147">
        <v>1345</v>
      </c>
      <c r="G22" s="147">
        <v>355</v>
      </c>
      <c r="H22" s="148">
        <v>1730</v>
      </c>
    </row>
    <row r="23" spans="1:14" x14ac:dyDescent="0.25">
      <c r="A23" s="145" t="s">
        <v>112</v>
      </c>
      <c r="B23" s="147">
        <v>595</v>
      </c>
      <c r="C23" s="147">
        <v>785</v>
      </c>
      <c r="D23" s="147">
        <v>700</v>
      </c>
      <c r="E23" s="147">
        <v>645</v>
      </c>
      <c r="F23" s="147">
        <v>170</v>
      </c>
      <c r="G23" s="147">
        <v>895</v>
      </c>
      <c r="H23" s="148">
        <v>540</v>
      </c>
    </row>
    <row r="24" spans="1:14" x14ac:dyDescent="0.25">
      <c r="A24" s="145" t="s">
        <v>113</v>
      </c>
      <c r="B24" s="147">
        <v>1825</v>
      </c>
      <c r="C24" s="147">
        <v>1910</v>
      </c>
      <c r="D24" s="147">
        <v>1925</v>
      </c>
      <c r="E24" s="147">
        <v>1820</v>
      </c>
      <c r="F24" s="147">
        <v>1375</v>
      </c>
      <c r="G24" s="147">
        <v>380</v>
      </c>
      <c r="H24" s="148">
        <v>1760</v>
      </c>
    </row>
    <row r="25" spans="1:14" x14ac:dyDescent="0.25">
      <c r="A25" s="145" t="s">
        <v>114</v>
      </c>
      <c r="B25" s="147">
        <v>595</v>
      </c>
      <c r="C25" s="147">
        <v>650</v>
      </c>
      <c r="D25" s="147">
        <v>700</v>
      </c>
      <c r="E25" s="147">
        <v>555</v>
      </c>
      <c r="F25" s="147">
        <v>270</v>
      </c>
      <c r="G25" s="147">
        <v>905</v>
      </c>
      <c r="H25" s="148">
        <v>540</v>
      </c>
    </row>
    <row r="26" spans="1:14" x14ac:dyDescent="0.25">
      <c r="A26" s="145" t="s">
        <v>115</v>
      </c>
      <c r="B26" s="147">
        <v>505</v>
      </c>
      <c r="C26" s="147">
        <v>695</v>
      </c>
      <c r="D26" s="147">
        <v>610</v>
      </c>
      <c r="E26" s="147">
        <v>555</v>
      </c>
      <c r="F26" s="147">
        <v>80</v>
      </c>
      <c r="G26" s="147">
        <v>935</v>
      </c>
      <c r="H26" s="148">
        <v>450</v>
      </c>
      <c r="N26" s="124"/>
    </row>
    <row r="27" spans="1:14" x14ac:dyDescent="0.25">
      <c r="A27" s="145" t="s">
        <v>116</v>
      </c>
      <c r="B27" s="147">
        <v>1790</v>
      </c>
      <c r="C27" s="147">
        <v>1875</v>
      </c>
      <c r="D27" s="147">
        <v>1870</v>
      </c>
      <c r="E27" s="147">
        <v>1785</v>
      </c>
      <c r="F27" s="147">
        <v>1340</v>
      </c>
      <c r="G27" s="147">
        <v>345</v>
      </c>
      <c r="H27" s="148">
        <v>1725</v>
      </c>
    </row>
    <row r="28" spans="1:14" x14ac:dyDescent="0.25">
      <c r="A28" s="145" t="s">
        <v>117</v>
      </c>
      <c r="B28" s="147">
        <v>1450</v>
      </c>
      <c r="C28" s="147">
        <v>1640</v>
      </c>
      <c r="D28" s="147">
        <v>1550</v>
      </c>
      <c r="E28" s="147">
        <v>1470</v>
      </c>
      <c r="F28" s="147">
        <v>1025</v>
      </c>
      <c r="G28" s="147">
        <v>5</v>
      </c>
      <c r="H28" s="148">
        <v>1410</v>
      </c>
    </row>
    <row r="29" spans="1:14" x14ac:dyDescent="0.25">
      <c r="A29" s="145" t="s">
        <v>118</v>
      </c>
      <c r="B29" s="147">
        <v>720</v>
      </c>
      <c r="C29" s="147">
        <v>925</v>
      </c>
      <c r="D29" s="147">
        <v>835</v>
      </c>
      <c r="E29" s="147">
        <v>785</v>
      </c>
      <c r="F29" s="147">
        <v>310</v>
      </c>
      <c r="G29" s="147">
        <v>700</v>
      </c>
      <c r="H29" s="148">
        <v>695</v>
      </c>
    </row>
    <row r="30" spans="1:14" x14ac:dyDescent="0.25">
      <c r="A30" s="145" t="s">
        <v>119</v>
      </c>
      <c r="B30" s="147">
        <v>1285</v>
      </c>
      <c r="C30" s="147">
        <v>1280</v>
      </c>
      <c r="D30" s="147">
        <v>1335</v>
      </c>
      <c r="E30" s="147">
        <v>1190</v>
      </c>
      <c r="F30" s="147">
        <v>810</v>
      </c>
      <c r="G30" s="147">
        <v>280</v>
      </c>
      <c r="H30" s="148">
        <v>1195</v>
      </c>
    </row>
    <row r="31" spans="1:14" x14ac:dyDescent="0.25">
      <c r="A31" s="145" t="s">
        <v>120</v>
      </c>
      <c r="B31" s="147">
        <v>615</v>
      </c>
      <c r="C31" s="147">
        <v>805</v>
      </c>
      <c r="D31" s="147">
        <v>720</v>
      </c>
      <c r="E31" s="147">
        <v>670</v>
      </c>
      <c r="F31" s="147">
        <v>190</v>
      </c>
      <c r="G31" s="147">
        <v>1050</v>
      </c>
      <c r="H31" s="148">
        <v>560</v>
      </c>
    </row>
    <row r="32" spans="1:14" x14ac:dyDescent="0.25">
      <c r="A32" s="145" t="s">
        <v>98</v>
      </c>
      <c r="B32" s="147" t="s">
        <v>121</v>
      </c>
      <c r="C32" s="147">
        <v>330</v>
      </c>
      <c r="D32" s="147">
        <v>125</v>
      </c>
      <c r="E32" s="147">
        <v>470</v>
      </c>
      <c r="F32" s="147">
        <v>450</v>
      </c>
      <c r="G32" s="147">
        <v>1445</v>
      </c>
      <c r="H32" s="148">
        <v>70</v>
      </c>
    </row>
    <row r="33" spans="1:8" x14ac:dyDescent="0.25">
      <c r="A33" s="145" t="s">
        <v>122</v>
      </c>
      <c r="B33" s="147">
        <v>980</v>
      </c>
      <c r="C33" s="147">
        <v>1040</v>
      </c>
      <c r="D33" s="147">
        <v>1085</v>
      </c>
      <c r="E33" s="147">
        <v>945</v>
      </c>
      <c r="F33" s="147">
        <v>560</v>
      </c>
      <c r="G33" s="147">
        <v>515</v>
      </c>
      <c r="H33" s="148">
        <v>925</v>
      </c>
    </row>
    <row r="34" spans="1:8" x14ac:dyDescent="0.25">
      <c r="A34" s="145" t="s">
        <v>123</v>
      </c>
      <c r="B34" s="147">
        <v>1115</v>
      </c>
      <c r="C34" s="147">
        <v>1175</v>
      </c>
      <c r="D34" s="147">
        <v>1220</v>
      </c>
      <c r="E34" s="147">
        <v>1075</v>
      </c>
      <c r="F34" s="147">
        <v>695</v>
      </c>
      <c r="G34" s="147">
        <v>485</v>
      </c>
      <c r="H34" s="148">
        <v>1060</v>
      </c>
    </row>
    <row r="35" spans="1:8" x14ac:dyDescent="0.25">
      <c r="A35" s="145" t="s">
        <v>124</v>
      </c>
      <c r="B35" s="147">
        <v>275</v>
      </c>
      <c r="C35" s="147">
        <v>390</v>
      </c>
      <c r="D35" s="147">
        <v>380</v>
      </c>
      <c r="E35" s="147">
        <v>340</v>
      </c>
      <c r="F35" s="147">
        <v>245</v>
      </c>
      <c r="G35" s="147">
        <v>1230</v>
      </c>
      <c r="H35" s="148">
        <v>220</v>
      </c>
    </row>
    <row r="36" spans="1:8" x14ac:dyDescent="0.25">
      <c r="A36" s="145" t="s">
        <v>125</v>
      </c>
      <c r="B36" s="147">
        <v>725</v>
      </c>
      <c r="C36" s="147">
        <v>785</v>
      </c>
      <c r="D36" s="147">
        <v>830</v>
      </c>
      <c r="E36" s="147">
        <v>685</v>
      </c>
      <c r="F36" s="147">
        <v>370</v>
      </c>
      <c r="G36" s="147">
        <v>780</v>
      </c>
      <c r="H36" s="148">
        <v>670</v>
      </c>
    </row>
    <row r="37" spans="1:8" x14ac:dyDescent="0.25">
      <c r="A37" s="145" t="s">
        <v>126</v>
      </c>
      <c r="B37" s="147">
        <v>890</v>
      </c>
      <c r="C37" s="147">
        <v>945</v>
      </c>
      <c r="D37" s="147">
        <v>995</v>
      </c>
      <c r="E37" s="147">
        <v>845</v>
      </c>
      <c r="F37" s="147">
        <v>465</v>
      </c>
      <c r="G37" s="147">
        <v>615</v>
      </c>
      <c r="H37" s="148">
        <v>835</v>
      </c>
    </row>
    <row r="38" spans="1:8" x14ac:dyDescent="0.25">
      <c r="A38" s="145" t="s">
        <v>127</v>
      </c>
      <c r="B38" s="147">
        <v>1905</v>
      </c>
      <c r="C38" s="147">
        <v>2020</v>
      </c>
      <c r="D38" s="147">
        <v>2010</v>
      </c>
      <c r="E38" s="147">
        <v>1930</v>
      </c>
      <c r="F38" s="147">
        <v>1485</v>
      </c>
      <c r="G38" s="147">
        <v>490</v>
      </c>
      <c r="H38" s="148">
        <v>1870</v>
      </c>
    </row>
    <row r="39" spans="1:8" x14ac:dyDescent="0.25">
      <c r="A39" s="145" t="s">
        <v>99</v>
      </c>
      <c r="B39" s="147">
        <v>330</v>
      </c>
      <c r="C39" s="147" t="s">
        <v>121</v>
      </c>
      <c r="D39" s="147">
        <v>440</v>
      </c>
      <c r="E39" s="147">
        <v>195</v>
      </c>
      <c r="F39" s="147">
        <v>640</v>
      </c>
      <c r="G39" s="147">
        <v>1635</v>
      </c>
      <c r="H39" s="148">
        <v>265</v>
      </c>
    </row>
    <row r="40" spans="1:8" x14ac:dyDescent="0.25">
      <c r="A40" s="145" t="s">
        <v>128</v>
      </c>
      <c r="B40" s="147">
        <v>640</v>
      </c>
      <c r="C40" s="147">
        <v>695</v>
      </c>
      <c r="D40" s="147">
        <v>745</v>
      </c>
      <c r="E40" s="147">
        <v>600</v>
      </c>
      <c r="F40" s="147">
        <v>315</v>
      </c>
      <c r="G40" s="147">
        <v>880</v>
      </c>
      <c r="H40" s="148">
        <v>585</v>
      </c>
    </row>
    <row r="41" spans="1:8" x14ac:dyDescent="0.25">
      <c r="A41" s="145" t="s">
        <v>129</v>
      </c>
      <c r="B41" s="147">
        <v>1845</v>
      </c>
      <c r="C41" s="147">
        <v>1930</v>
      </c>
      <c r="D41" s="147">
        <v>1920</v>
      </c>
      <c r="E41" s="147">
        <v>1840</v>
      </c>
      <c r="F41" s="147">
        <v>1395</v>
      </c>
      <c r="G41" s="147">
        <v>400</v>
      </c>
      <c r="H41" s="148">
        <v>1780</v>
      </c>
    </row>
    <row r="42" spans="1:8" x14ac:dyDescent="0.25">
      <c r="A42" s="145" t="s">
        <v>130</v>
      </c>
      <c r="B42" s="147">
        <v>555</v>
      </c>
      <c r="C42" s="147">
        <v>745</v>
      </c>
      <c r="D42" s="147">
        <v>660</v>
      </c>
      <c r="E42" s="147">
        <v>605</v>
      </c>
      <c r="F42" s="147">
        <v>130</v>
      </c>
      <c r="G42" s="147">
        <v>985</v>
      </c>
      <c r="H42" s="148">
        <v>500</v>
      </c>
    </row>
    <row r="43" spans="1:8" x14ac:dyDescent="0.25">
      <c r="A43" s="145" t="s">
        <v>100</v>
      </c>
      <c r="B43" s="147">
        <v>125</v>
      </c>
      <c r="C43" s="147">
        <v>440</v>
      </c>
      <c r="D43" s="147" t="s">
        <v>121</v>
      </c>
      <c r="E43" s="147">
        <v>630</v>
      </c>
      <c r="F43" s="147">
        <v>555</v>
      </c>
      <c r="G43" s="147">
        <v>1545</v>
      </c>
      <c r="H43" s="148">
        <v>190</v>
      </c>
    </row>
    <row r="44" spans="1:8" x14ac:dyDescent="0.25">
      <c r="A44" s="145" t="s">
        <v>131</v>
      </c>
      <c r="B44" s="147">
        <v>590</v>
      </c>
      <c r="C44" s="147">
        <v>720</v>
      </c>
      <c r="D44" s="147">
        <v>380</v>
      </c>
      <c r="E44" s="147">
        <v>640</v>
      </c>
      <c r="F44" s="147">
        <v>165</v>
      </c>
      <c r="G44" s="147">
        <v>1020</v>
      </c>
      <c r="H44" s="148">
        <v>400</v>
      </c>
    </row>
    <row r="45" spans="1:8" x14ac:dyDescent="0.25">
      <c r="A45" s="145" t="s">
        <v>132</v>
      </c>
      <c r="B45" s="147">
        <v>1145</v>
      </c>
      <c r="C45" s="147">
        <v>1290</v>
      </c>
      <c r="D45" s="147">
        <v>1100</v>
      </c>
      <c r="E45" s="147">
        <v>1200</v>
      </c>
      <c r="F45" s="147">
        <v>725</v>
      </c>
      <c r="G45" s="147">
        <v>300</v>
      </c>
      <c r="H45" s="148">
        <v>1100</v>
      </c>
    </row>
    <row r="46" spans="1:8" x14ac:dyDescent="0.25">
      <c r="A46" s="145" t="s">
        <v>133</v>
      </c>
      <c r="B46" s="147">
        <v>690</v>
      </c>
      <c r="C46" s="147">
        <v>740</v>
      </c>
      <c r="D46" s="147">
        <v>795</v>
      </c>
      <c r="E46" s="147">
        <v>650</v>
      </c>
      <c r="F46" s="147">
        <v>365</v>
      </c>
      <c r="G46" s="147">
        <v>810</v>
      </c>
      <c r="H46" s="148">
        <v>650</v>
      </c>
    </row>
    <row r="47" spans="1:8" x14ac:dyDescent="0.25">
      <c r="A47" s="145" t="s">
        <v>134</v>
      </c>
      <c r="B47" s="147">
        <v>660</v>
      </c>
      <c r="C47" s="147">
        <v>780</v>
      </c>
      <c r="D47" s="147">
        <v>715</v>
      </c>
      <c r="E47" s="147">
        <v>690</v>
      </c>
      <c r="F47" s="147">
        <v>195</v>
      </c>
      <c r="G47" s="147">
        <v>890</v>
      </c>
      <c r="H47" s="148">
        <v>620</v>
      </c>
    </row>
    <row r="48" spans="1:8" x14ac:dyDescent="0.25">
      <c r="A48" s="145" t="s">
        <v>135</v>
      </c>
      <c r="B48" s="147">
        <v>440</v>
      </c>
      <c r="C48" s="147">
        <v>395</v>
      </c>
      <c r="D48" s="147">
        <v>545</v>
      </c>
      <c r="E48" s="147">
        <v>295</v>
      </c>
      <c r="F48" s="147">
        <v>190</v>
      </c>
      <c r="G48" s="147">
        <v>1160</v>
      </c>
      <c r="H48" s="148">
        <v>385</v>
      </c>
    </row>
    <row r="49" spans="1:8" x14ac:dyDescent="0.25">
      <c r="A49" s="145" t="s">
        <v>136</v>
      </c>
      <c r="B49" s="147">
        <v>585</v>
      </c>
      <c r="C49" s="147">
        <v>725</v>
      </c>
      <c r="D49" s="147">
        <v>685</v>
      </c>
      <c r="E49" s="147">
        <v>635</v>
      </c>
      <c r="F49" s="147">
        <v>160</v>
      </c>
      <c r="G49" s="147">
        <v>1015</v>
      </c>
      <c r="H49" s="148">
        <v>545</v>
      </c>
    </row>
    <row r="50" spans="1:8" x14ac:dyDescent="0.25">
      <c r="A50" s="145" t="s">
        <v>137</v>
      </c>
      <c r="B50" s="147">
        <v>200</v>
      </c>
      <c r="C50" s="147">
        <v>355</v>
      </c>
      <c r="D50" s="147">
        <v>285</v>
      </c>
      <c r="E50" s="147">
        <v>430</v>
      </c>
      <c r="F50" s="147">
        <v>270</v>
      </c>
      <c r="G50" s="147">
        <v>1255</v>
      </c>
      <c r="H50" s="148">
        <v>160</v>
      </c>
    </row>
    <row r="51" spans="1:8" x14ac:dyDescent="0.25">
      <c r="A51" s="145" t="s">
        <v>138</v>
      </c>
      <c r="B51" s="147">
        <v>595</v>
      </c>
      <c r="C51" s="147">
        <v>785</v>
      </c>
      <c r="D51" s="147">
        <v>700</v>
      </c>
      <c r="E51" s="147">
        <v>645</v>
      </c>
      <c r="F51" s="147">
        <v>170</v>
      </c>
      <c r="G51" s="147">
        <v>1025</v>
      </c>
      <c r="H51" s="148">
        <v>540</v>
      </c>
    </row>
    <row r="52" spans="1:8" x14ac:dyDescent="0.25">
      <c r="A52" s="145" t="s">
        <v>139</v>
      </c>
      <c r="B52" s="147">
        <v>550</v>
      </c>
      <c r="C52" s="147">
        <v>605</v>
      </c>
      <c r="D52" s="147">
        <v>655</v>
      </c>
      <c r="E52" s="147">
        <v>505</v>
      </c>
      <c r="F52" s="147">
        <v>220</v>
      </c>
      <c r="G52" s="147">
        <v>950</v>
      </c>
      <c r="H52" s="148">
        <v>495</v>
      </c>
    </row>
    <row r="53" spans="1:8" x14ac:dyDescent="0.25">
      <c r="A53" s="145" t="s">
        <v>140</v>
      </c>
      <c r="B53" s="147">
        <v>1325</v>
      </c>
      <c r="C53" s="147">
        <v>1435</v>
      </c>
      <c r="D53" s="147">
        <v>1275</v>
      </c>
      <c r="E53" s="147">
        <v>1345</v>
      </c>
      <c r="F53" s="147">
        <v>900</v>
      </c>
      <c r="G53" s="147">
        <v>115</v>
      </c>
      <c r="H53" s="148">
        <v>1285</v>
      </c>
    </row>
    <row r="54" spans="1:8" x14ac:dyDescent="0.25">
      <c r="A54" s="145" t="s">
        <v>141</v>
      </c>
      <c r="B54" s="147">
        <v>440</v>
      </c>
      <c r="C54" s="147">
        <v>490</v>
      </c>
      <c r="D54" s="147">
        <v>545</v>
      </c>
      <c r="E54" s="147">
        <v>400</v>
      </c>
      <c r="F54" s="147">
        <v>100</v>
      </c>
      <c r="G54" s="147">
        <v>1100</v>
      </c>
      <c r="H54" s="148">
        <v>395</v>
      </c>
    </row>
    <row r="55" spans="1:8" x14ac:dyDescent="0.25">
      <c r="A55" s="145" t="s">
        <v>142</v>
      </c>
      <c r="B55" s="147">
        <v>415</v>
      </c>
      <c r="C55" s="147">
        <v>455</v>
      </c>
      <c r="D55" s="147">
        <v>520</v>
      </c>
      <c r="E55" s="147">
        <v>360</v>
      </c>
      <c r="F55" s="147">
        <v>130</v>
      </c>
      <c r="G55" s="147">
        <v>1100</v>
      </c>
      <c r="H55" s="148">
        <v>360</v>
      </c>
    </row>
    <row r="56" spans="1:8" x14ac:dyDescent="0.25">
      <c r="A56" s="145" t="s">
        <v>143</v>
      </c>
      <c r="B56" s="147">
        <v>1145</v>
      </c>
      <c r="C56" s="147">
        <v>1285</v>
      </c>
      <c r="D56" s="147">
        <v>1245</v>
      </c>
      <c r="E56" s="147">
        <v>1200</v>
      </c>
      <c r="F56" s="147">
        <v>715</v>
      </c>
      <c r="G56" s="147">
        <v>310</v>
      </c>
      <c r="H56" s="148">
        <v>1105</v>
      </c>
    </row>
    <row r="57" spans="1:8" x14ac:dyDescent="0.25">
      <c r="A57" s="145" t="s">
        <v>101</v>
      </c>
      <c r="B57" s="147">
        <v>470</v>
      </c>
      <c r="C57" s="147">
        <v>195</v>
      </c>
      <c r="D57" s="147">
        <v>630</v>
      </c>
      <c r="E57" s="147" t="s">
        <v>121</v>
      </c>
      <c r="F57" s="147">
        <v>490</v>
      </c>
      <c r="G57" s="147">
        <v>1465</v>
      </c>
      <c r="H57" s="148">
        <v>400</v>
      </c>
    </row>
    <row r="58" spans="1:8" x14ac:dyDescent="0.25">
      <c r="A58" s="145" t="s">
        <v>144</v>
      </c>
      <c r="B58" s="147">
        <v>300</v>
      </c>
      <c r="C58" s="147">
        <v>470</v>
      </c>
      <c r="D58" s="147">
        <v>405</v>
      </c>
      <c r="E58" s="147">
        <v>420</v>
      </c>
      <c r="F58" s="147">
        <v>170</v>
      </c>
      <c r="G58" s="147">
        <v>1155</v>
      </c>
      <c r="H58" s="148">
        <v>245</v>
      </c>
    </row>
    <row r="59" spans="1:8" x14ac:dyDescent="0.25">
      <c r="A59" s="145" t="s">
        <v>145</v>
      </c>
      <c r="B59" s="147">
        <v>385</v>
      </c>
      <c r="C59" s="147">
        <v>485</v>
      </c>
      <c r="D59" s="147">
        <v>490</v>
      </c>
      <c r="E59" s="147">
        <v>370</v>
      </c>
      <c r="F59" s="147">
        <v>160</v>
      </c>
      <c r="G59" s="147">
        <v>1125</v>
      </c>
      <c r="H59" s="148">
        <v>330</v>
      </c>
    </row>
    <row r="60" spans="1:8" x14ac:dyDescent="0.25">
      <c r="A60" s="145" t="s">
        <v>146</v>
      </c>
      <c r="B60" s="147">
        <v>1855</v>
      </c>
      <c r="C60" s="147">
        <v>2045</v>
      </c>
      <c r="D60" s="147">
        <v>1960</v>
      </c>
      <c r="E60" s="147">
        <v>1875</v>
      </c>
      <c r="F60" s="147">
        <v>1430</v>
      </c>
      <c r="G60" s="147">
        <v>440</v>
      </c>
      <c r="H60" s="148">
        <v>1815</v>
      </c>
    </row>
    <row r="61" spans="1:8" x14ac:dyDescent="0.25">
      <c r="A61" s="145" t="s">
        <v>147</v>
      </c>
      <c r="B61" s="147">
        <v>1985</v>
      </c>
      <c r="C61" s="147">
        <v>2095</v>
      </c>
      <c r="D61" s="147">
        <v>2085</v>
      </c>
      <c r="E61" s="147">
        <v>2005</v>
      </c>
      <c r="F61" s="147">
        <v>1560</v>
      </c>
      <c r="G61" s="147">
        <v>570</v>
      </c>
      <c r="H61" s="148">
        <v>1945</v>
      </c>
    </row>
    <row r="62" spans="1:8" x14ac:dyDescent="0.25">
      <c r="A62" s="145" t="s">
        <v>148</v>
      </c>
      <c r="B62" s="147">
        <v>700</v>
      </c>
      <c r="C62" s="147">
        <v>890</v>
      </c>
      <c r="D62" s="147">
        <v>805</v>
      </c>
      <c r="E62" s="147">
        <v>755</v>
      </c>
      <c r="F62" s="147">
        <v>280</v>
      </c>
      <c r="G62" s="147">
        <v>760</v>
      </c>
      <c r="H62" s="148">
        <v>645</v>
      </c>
    </row>
    <row r="63" spans="1:8" x14ac:dyDescent="0.25">
      <c r="A63" s="145" t="s">
        <v>149</v>
      </c>
      <c r="B63" s="147">
        <v>525</v>
      </c>
      <c r="C63" s="147">
        <v>670</v>
      </c>
      <c r="D63" s="147">
        <v>630</v>
      </c>
      <c r="E63" s="147">
        <v>580</v>
      </c>
      <c r="F63" s="147">
        <v>105</v>
      </c>
      <c r="G63" s="147">
        <v>910</v>
      </c>
      <c r="H63" s="148">
        <v>490</v>
      </c>
    </row>
    <row r="64" spans="1:8" x14ac:dyDescent="0.25">
      <c r="A64" s="145" t="s">
        <v>150</v>
      </c>
      <c r="B64" s="147">
        <v>740</v>
      </c>
      <c r="C64" s="147">
        <v>930</v>
      </c>
      <c r="D64" s="147">
        <v>845</v>
      </c>
      <c r="E64" s="147">
        <v>795</v>
      </c>
      <c r="F64" s="147">
        <v>315</v>
      </c>
      <c r="G64" s="147">
        <v>700</v>
      </c>
      <c r="H64" s="148">
        <v>685</v>
      </c>
    </row>
    <row r="65" spans="1:8" x14ac:dyDescent="0.25">
      <c r="A65" s="145" t="s">
        <v>151</v>
      </c>
      <c r="B65" s="147">
        <v>560</v>
      </c>
      <c r="C65" s="147">
        <v>700</v>
      </c>
      <c r="D65" s="147">
        <v>660</v>
      </c>
      <c r="E65" s="147">
        <v>610</v>
      </c>
      <c r="F65" s="147">
        <v>135</v>
      </c>
      <c r="G65" s="147">
        <v>880</v>
      </c>
      <c r="H65" s="148">
        <v>520</v>
      </c>
    </row>
    <row r="66" spans="1:8" x14ac:dyDescent="0.25">
      <c r="A66" s="145" t="s">
        <v>152</v>
      </c>
      <c r="B66" s="147">
        <v>1770</v>
      </c>
      <c r="C66" s="147">
        <v>1920</v>
      </c>
      <c r="D66" s="147">
        <v>1915</v>
      </c>
      <c r="E66" s="147">
        <v>1830</v>
      </c>
      <c r="F66" s="147">
        <v>1385</v>
      </c>
      <c r="G66" s="147">
        <v>390</v>
      </c>
      <c r="H66" s="148">
        <v>1835</v>
      </c>
    </row>
    <row r="67" spans="1:8" x14ac:dyDescent="0.25">
      <c r="A67" s="145" t="s">
        <v>153</v>
      </c>
      <c r="B67" s="147">
        <v>785</v>
      </c>
      <c r="C67" s="147">
        <v>875</v>
      </c>
      <c r="D67" s="147">
        <v>905</v>
      </c>
      <c r="E67" s="147">
        <v>785</v>
      </c>
      <c r="F67" s="147">
        <v>405</v>
      </c>
      <c r="G67" s="147">
        <v>675</v>
      </c>
      <c r="H67" s="148">
        <v>785</v>
      </c>
    </row>
    <row r="68" spans="1:8" x14ac:dyDescent="0.25">
      <c r="A68" s="145" t="s">
        <v>154</v>
      </c>
      <c r="B68" s="147">
        <v>435</v>
      </c>
      <c r="C68" s="147">
        <v>495</v>
      </c>
      <c r="D68" s="147">
        <v>540</v>
      </c>
      <c r="E68" s="147">
        <v>395</v>
      </c>
      <c r="F68" s="147">
        <v>95</v>
      </c>
      <c r="G68" s="147">
        <v>1095</v>
      </c>
      <c r="H68" s="148">
        <v>380</v>
      </c>
    </row>
    <row r="69" spans="1:8" x14ac:dyDescent="0.25">
      <c r="A69" s="145" t="s">
        <v>102</v>
      </c>
      <c r="B69" s="147">
        <v>450</v>
      </c>
      <c r="C69" s="147">
        <v>640</v>
      </c>
      <c r="D69" s="147">
        <v>555</v>
      </c>
      <c r="E69" s="147">
        <v>490</v>
      </c>
      <c r="F69" s="147" t="s">
        <v>121</v>
      </c>
      <c r="G69" s="147">
        <v>1020</v>
      </c>
      <c r="H69" s="148">
        <v>395</v>
      </c>
    </row>
    <row r="70" spans="1:8" x14ac:dyDescent="0.25">
      <c r="A70" s="145" t="s">
        <v>155</v>
      </c>
      <c r="B70" s="147">
        <v>495</v>
      </c>
      <c r="C70" s="147">
        <v>555</v>
      </c>
      <c r="D70" s="147">
        <v>600</v>
      </c>
      <c r="E70" s="147">
        <v>455</v>
      </c>
      <c r="F70" s="147">
        <v>170</v>
      </c>
      <c r="G70" s="147">
        <v>1000</v>
      </c>
      <c r="H70" s="148">
        <v>440</v>
      </c>
    </row>
    <row r="71" spans="1:8" x14ac:dyDescent="0.25">
      <c r="A71" s="145" t="s">
        <v>156</v>
      </c>
      <c r="B71" s="147">
        <v>525</v>
      </c>
      <c r="C71" s="147">
        <v>585</v>
      </c>
      <c r="D71" s="147">
        <v>630</v>
      </c>
      <c r="E71" s="147">
        <v>485</v>
      </c>
      <c r="F71" s="147">
        <v>260</v>
      </c>
      <c r="G71" s="147">
        <v>1280</v>
      </c>
      <c r="H71" s="148">
        <v>470</v>
      </c>
    </row>
    <row r="72" spans="1:8" x14ac:dyDescent="0.25">
      <c r="A72" s="145" t="s">
        <v>157</v>
      </c>
      <c r="B72" s="147">
        <v>550</v>
      </c>
      <c r="C72" s="147">
        <v>600</v>
      </c>
      <c r="D72" s="147">
        <v>650</v>
      </c>
      <c r="E72" s="147">
        <v>510</v>
      </c>
      <c r="F72" s="147">
        <v>220</v>
      </c>
      <c r="G72" s="147">
        <v>950</v>
      </c>
      <c r="H72" s="148">
        <v>510</v>
      </c>
    </row>
    <row r="73" spans="1:8" x14ac:dyDescent="0.25">
      <c r="A73" s="145" t="s">
        <v>158</v>
      </c>
      <c r="B73" s="147">
        <v>1215</v>
      </c>
      <c r="C73" s="147">
        <v>1360</v>
      </c>
      <c r="D73" s="147">
        <v>1320</v>
      </c>
      <c r="E73" s="147">
        <v>1270</v>
      </c>
      <c r="F73" s="147">
        <v>795</v>
      </c>
      <c r="G73" s="147">
        <v>220</v>
      </c>
      <c r="H73" s="148">
        <v>1180</v>
      </c>
    </row>
    <row r="74" spans="1:8" x14ac:dyDescent="0.25">
      <c r="A74" s="145" t="s">
        <v>159</v>
      </c>
      <c r="B74" s="147">
        <v>650</v>
      </c>
      <c r="C74" s="147">
        <v>795</v>
      </c>
      <c r="D74" s="147">
        <v>755</v>
      </c>
      <c r="E74" s="147">
        <v>705</v>
      </c>
      <c r="F74" s="147">
        <v>230</v>
      </c>
      <c r="G74" s="147">
        <v>785</v>
      </c>
      <c r="H74" s="148">
        <v>615</v>
      </c>
    </row>
    <row r="75" spans="1:8" x14ac:dyDescent="0.25">
      <c r="A75" s="145" t="s">
        <v>50</v>
      </c>
      <c r="B75" s="147">
        <v>1445</v>
      </c>
      <c r="C75" s="147">
        <v>1635</v>
      </c>
      <c r="D75" s="147">
        <v>1545</v>
      </c>
      <c r="E75" s="147">
        <v>1465</v>
      </c>
      <c r="F75" s="147">
        <v>1020</v>
      </c>
      <c r="G75" s="147" t="s">
        <v>121</v>
      </c>
      <c r="H75" s="148">
        <v>1405</v>
      </c>
    </row>
    <row r="76" spans="1:8" x14ac:dyDescent="0.25">
      <c r="A76" s="145" t="s">
        <v>160</v>
      </c>
      <c r="B76" s="147">
        <v>745</v>
      </c>
      <c r="C76" s="147">
        <v>815</v>
      </c>
      <c r="D76" s="147">
        <v>850</v>
      </c>
      <c r="E76" s="147">
        <v>720</v>
      </c>
      <c r="F76" s="147">
        <v>300</v>
      </c>
      <c r="G76" s="147">
        <v>775</v>
      </c>
      <c r="H76" s="148">
        <v>690</v>
      </c>
    </row>
    <row r="77" spans="1:8" x14ac:dyDescent="0.25">
      <c r="A77" s="145" t="s">
        <v>47</v>
      </c>
      <c r="B77" s="147">
        <v>70</v>
      </c>
      <c r="C77" s="147">
        <v>265</v>
      </c>
      <c r="D77" s="147">
        <v>190</v>
      </c>
      <c r="E77" s="147">
        <v>400</v>
      </c>
      <c r="F77" s="147">
        <v>395</v>
      </c>
      <c r="G77" s="147">
        <v>1405</v>
      </c>
      <c r="H77" s="148" t="s">
        <v>121</v>
      </c>
    </row>
    <row r="78" spans="1:8" x14ac:dyDescent="0.25">
      <c r="A78" s="145" t="s">
        <v>161</v>
      </c>
      <c r="B78" s="147">
        <v>925</v>
      </c>
      <c r="C78" s="147">
        <v>965</v>
      </c>
      <c r="D78" s="147">
        <v>1065</v>
      </c>
      <c r="E78" s="147">
        <v>1015</v>
      </c>
      <c r="F78" s="147">
        <v>540</v>
      </c>
      <c r="G78" s="147">
        <v>480</v>
      </c>
      <c r="H78" s="148">
        <v>925</v>
      </c>
    </row>
    <row r="79" spans="1:8" x14ac:dyDescent="0.25">
      <c r="A79" s="145" t="s">
        <v>162</v>
      </c>
      <c r="B79" s="147">
        <v>450</v>
      </c>
      <c r="C79" s="147">
        <v>595</v>
      </c>
      <c r="D79" s="147">
        <v>555</v>
      </c>
      <c r="E79" s="147">
        <v>505</v>
      </c>
      <c r="F79" s="147">
        <v>25</v>
      </c>
      <c r="G79" s="147">
        <v>985</v>
      </c>
      <c r="H79" s="148">
        <v>415</v>
      </c>
    </row>
    <row r="80" spans="1:8" x14ac:dyDescent="0.25">
      <c r="A80" s="146" t="s">
        <v>163</v>
      </c>
      <c r="B80" s="149">
        <v>525</v>
      </c>
      <c r="C80" s="149">
        <v>670</v>
      </c>
      <c r="D80" s="149">
        <v>630</v>
      </c>
      <c r="E80" s="149">
        <v>580</v>
      </c>
      <c r="F80" s="149">
        <v>105</v>
      </c>
      <c r="G80" s="149">
        <v>960</v>
      </c>
      <c r="H80" s="150">
        <v>490</v>
      </c>
    </row>
    <row r="81" spans="1:8" x14ac:dyDescent="0.25">
      <c r="A81" s="139"/>
      <c r="B81" s="139"/>
      <c r="C81" s="139"/>
      <c r="D81" s="139"/>
      <c r="E81" s="139"/>
      <c r="F81" s="139"/>
      <c r="G81" s="139"/>
      <c r="H81" s="139"/>
    </row>
    <row r="82" spans="1:8" customFormat="1" ht="15" x14ac:dyDescent="0.25">
      <c r="A82" s="30"/>
      <c r="B82" s="30"/>
      <c r="C82" s="30"/>
      <c r="D82" s="30"/>
      <c r="E82" s="30"/>
      <c r="F82" s="30"/>
      <c r="G82" s="30"/>
      <c r="H82" s="30"/>
    </row>
    <row r="83" spans="1:8" customFormat="1" ht="15" x14ac:dyDescent="0.25">
      <c r="A83" s="30"/>
      <c r="B83" s="30"/>
      <c r="C83" s="30"/>
      <c r="D83" s="30"/>
      <c r="E83" s="30"/>
      <c r="F83" s="30"/>
      <c r="G83" s="30"/>
      <c r="H83" s="30"/>
    </row>
    <row r="84" spans="1:8" customFormat="1" ht="15" x14ac:dyDescent="0.25">
      <c r="A84" s="30"/>
      <c r="B84" s="30"/>
      <c r="C84" s="30"/>
      <c r="D84" s="30"/>
      <c r="E84" s="30"/>
      <c r="F84" s="30"/>
      <c r="G84" s="30"/>
      <c r="H84" s="30"/>
    </row>
    <row r="85" spans="1:8" customFormat="1" ht="15" x14ac:dyDescent="0.25">
      <c r="A85" s="30"/>
      <c r="B85" s="30"/>
      <c r="C85" s="30"/>
      <c r="D85" s="30"/>
      <c r="E85" s="30"/>
      <c r="F85" s="30"/>
      <c r="G85" s="30"/>
      <c r="H85" s="30"/>
    </row>
    <row r="86" spans="1:8" customFormat="1" ht="15" x14ac:dyDescent="0.25">
      <c r="A86" s="30"/>
      <c r="B86" s="30"/>
      <c r="C86" s="30"/>
      <c r="D86" s="30"/>
      <c r="E86" s="30"/>
      <c r="F86" s="30"/>
      <c r="G86" s="30"/>
      <c r="H86" s="30"/>
    </row>
    <row r="87" spans="1:8" customFormat="1" ht="15" x14ac:dyDescent="0.25">
      <c r="A87" s="30"/>
      <c r="B87" s="30"/>
      <c r="C87" s="30"/>
      <c r="D87" s="30"/>
      <c r="E87" s="30"/>
      <c r="F87" s="30"/>
      <c r="G87" s="30"/>
      <c r="H87" s="30"/>
    </row>
    <row r="88" spans="1:8" customFormat="1" ht="15" x14ac:dyDescent="0.25">
      <c r="A88" s="30"/>
      <c r="B88" s="30"/>
      <c r="C88" s="30"/>
      <c r="D88" s="30"/>
      <c r="E88" s="30"/>
      <c r="F88" s="30"/>
      <c r="G88" s="30"/>
      <c r="H88" s="30"/>
    </row>
    <row r="89" spans="1:8" customFormat="1" ht="15" x14ac:dyDescent="0.25">
      <c r="A89" s="30"/>
      <c r="B89" s="30"/>
      <c r="C89" s="30"/>
      <c r="D89" s="30"/>
      <c r="E89" s="30"/>
      <c r="F89" s="30"/>
      <c r="G89" s="30"/>
      <c r="H89" s="30"/>
    </row>
    <row r="90" spans="1:8" customFormat="1" ht="15" x14ac:dyDescent="0.25">
      <c r="A90" s="30"/>
      <c r="B90" s="30"/>
      <c r="C90" s="30"/>
      <c r="D90" s="30"/>
      <c r="E90" s="30"/>
      <c r="F90" s="30"/>
      <c r="G90" s="30"/>
      <c r="H90" s="30"/>
    </row>
    <row r="91" spans="1:8" customFormat="1" ht="15" x14ac:dyDescent="0.25">
      <c r="A91" s="30"/>
      <c r="B91" s="30"/>
      <c r="C91" s="30"/>
      <c r="D91" s="30"/>
      <c r="E91" s="30"/>
      <c r="F91" s="30"/>
      <c r="G91" s="30"/>
      <c r="H91" s="30"/>
    </row>
    <row r="92" spans="1:8" customFormat="1" ht="15" x14ac:dyDescent="0.25">
      <c r="A92" s="30"/>
      <c r="B92" s="30"/>
      <c r="C92" s="30"/>
      <c r="D92" s="30"/>
      <c r="E92" s="30"/>
      <c r="F92" s="30"/>
      <c r="G92" s="30"/>
      <c r="H92" s="30"/>
    </row>
    <row r="93" spans="1:8" customFormat="1" ht="15" x14ac:dyDescent="0.25">
      <c r="A93" s="30"/>
      <c r="B93" s="30"/>
      <c r="C93" s="30"/>
      <c r="D93" s="30"/>
      <c r="E93" s="30"/>
      <c r="F93" s="30"/>
      <c r="G93" s="30"/>
      <c r="H93" s="30"/>
    </row>
    <row r="94" spans="1:8" customFormat="1" ht="15" x14ac:dyDescent="0.25">
      <c r="A94" s="30"/>
      <c r="B94" s="30"/>
      <c r="C94" s="30"/>
      <c r="D94" s="30"/>
      <c r="E94" s="30"/>
      <c r="F94" s="30"/>
      <c r="G94" s="30"/>
      <c r="H94" s="30"/>
    </row>
    <row r="95" spans="1:8" customFormat="1" ht="15" x14ac:dyDescent="0.25">
      <c r="A95" s="30"/>
      <c r="B95" s="30"/>
      <c r="C95" s="30"/>
      <c r="D95" s="30"/>
      <c r="E95" s="30"/>
      <c r="F95" s="30"/>
      <c r="G95" s="30"/>
      <c r="H95" s="30"/>
    </row>
    <row r="96" spans="1:8" customFormat="1" ht="15" x14ac:dyDescent="0.25">
      <c r="A96" s="30"/>
      <c r="B96" s="30"/>
      <c r="C96" s="30"/>
      <c r="D96" s="30"/>
      <c r="E96" s="30"/>
      <c r="F96" s="30"/>
      <c r="G96" s="30"/>
      <c r="H96" s="30"/>
    </row>
    <row r="97" customFormat="1" ht="15" x14ac:dyDescent="0.25"/>
    <row r="98" customFormat="1" ht="15" x14ac:dyDescent="0.25"/>
    <row r="99" customFormat="1" ht="15" x14ac:dyDescent="0.25"/>
    <row r="100" customFormat="1" ht="15" x14ac:dyDescent="0.25"/>
    <row r="101" customFormat="1" ht="15" x14ac:dyDescent="0.25"/>
    <row r="102" customFormat="1" ht="15" x14ac:dyDescent="0.25"/>
    <row r="103" customFormat="1" ht="15" x14ac:dyDescent="0.25"/>
    <row r="104" customFormat="1" ht="15" x14ac:dyDescent="0.25"/>
    <row r="105" customFormat="1" ht="15" x14ac:dyDescent="0.25"/>
    <row r="106" customFormat="1" ht="15" x14ac:dyDescent="0.25"/>
    <row r="107" customFormat="1" ht="15" x14ac:dyDescent="0.25"/>
    <row r="108" customFormat="1" ht="15" x14ac:dyDescent="0.25"/>
    <row r="109" customFormat="1" ht="15" x14ac:dyDescent="0.25"/>
    <row r="110" customFormat="1" ht="15" x14ac:dyDescent="0.25"/>
    <row r="111" customFormat="1" ht="15" x14ac:dyDescent="0.25"/>
    <row r="112" customFormat="1" ht="15" x14ac:dyDescent="0.25"/>
    <row r="113" customFormat="1" ht="15" x14ac:dyDescent="0.25"/>
    <row r="114" customFormat="1" ht="15" x14ac:dyDescent="0.25"/>
    <row r="115" customFormat="1" ht="15" x14ac:dyDescent="0.25"/>
    <row r="116" customFormat="1" ht="15" x14ac:dyDescent="0.25"/>
    <row r="117" customFormat="1" ht="15" x14ac:dyDescent="0.25"/>
    <row r="118" customFormat="1" ht="15" x14ac:dyDescent="0.25"/>
    <row r="119" customFormat="1" ht="15" x14ac:dyDescent="0.25"/>
  </sheetData>
  <sheetProtection password="EDC4" sheet="1" objects="1" scenarios="1"/>
  <mergeCells count="6">
    <mergeCell ref="B2:C2"/>
    <mergeCell ref="D3:E3"/>
    <mergeCell ref="D2:E2"/>
    <mergeCell ref="B12:H12"/>
    <mergeCell ref="A2:A3"/>
    <mergeCell ref="B3:C3"/>
  </mergeCells>
  <conditionalFormatting sqref="B3 D3">
    <cfRule type="cellIs" dxfId="145" priority="4" operator="equal">
      <formula>Dropdown_NotSelectedValue</formula>
    </cfRule>
  </conditionalFormatting>
  <conditionalFormatting sqref="A14:H80">
    <cfRule type="expression" dxfId="144" priority="1">
      <formula>IFERROR(FIND(CELL("address",A14),IFERROR(CELL("address",OFFSET(Lookup_KMRefStart,Lookup_KMCommunity,Lookup_KMMajor,1,1)),"")&amp;",",1)&gt;0,FALSE)</formula>
    </cfRule>
    <cfRule type="expression" dxfId="143" priority="3">
      <formula>$B$3=$A14</formula>
    </cfRule>
  </conditionalFormatting>
  <conditionalFormatting sqref="A13:H80">
    <cfRule type="expression" dxfId="142" priority="2">
      <formula>$D$3=A$13</formula>
    </cfRule>
  </conditionalFormatting>
  <dataValidations count="2">
    <dataValidation type="list" allowBlank="1" showInputMessage="1" showErrorMessage="1" errorTitle="Community Error" error="Select a 'Commmunity' from the in-cell dropdown list." sqref="B3" xr:uid="{00000000-0002-0000-0100-000000000000}">
      <formula1>Dropdown_KMCommunity</formula1>
    </dataValidation>
    <dataValidation type="list" allowBlank="1" showInputMessage="1" showErrorMessage="1" errorTitle="Major Centre / Campus Error" error="Select a 'Major Centre / Campus' from the in-cell dropdown list." sqref="D3" xr:uid="{00000000-0002-0000-0100-000001000000}">
      <formula1>Dropdown_KMCentre</formula1>
    </dataValidation>
  </dataValidations>
  <printOptions horizontalCentered="1"/>
  <pageMargins left="0.19685039370078741" right="0.19685039370078741" top="0.19685039370078741" bottom="0.19685039370078741" header="0.19685039370078741" footer="0.19685039370078741"/>
  <pageSetup scale="50" fitToHeight="0" orientation="portrait" r:id="rId1"/>
  <headerFooter>
    <oddFooter>&amp;C&amp;A&amp;R&amp;D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2:AA184"/>
  <sheetViews>
    <sheetView zoomScale="70" zoomScaleNormal="70" workbookViewId="0">
      <selection activeCell="C191" sqref="C191"/>
    </sheetView>
  </sheetViews>
  <sheetFormatPr defaultRowHeight="15" x14ac:dyDescent="0.25"/>
  <cols>
    <col min="1" max="1" width="17.42578125" bestFit="1" customWidth="1"/>
    <col min="2" max="2" width="33" customWidth="1"/>
    <col min="3" max="3" width="20.85546875" bestFit="1" customWidth="1"/>
    <col min="4" max="4" width="20.85546875" style="30" customWidth="1"/>
    <col min="5" max="5" width="17.140625" style="30" customWidth="1"/>
    <col min="6" max="6" width="31.140625" style="30" bestFit="1" customWidth="1"/>
    <col min="7" max="7" width="19" style="30" bestFit="1" customWidth="1"/>
    <col min="8" max="8" width="38.7109375" bestFit="1" customWidth="1"/>
    <col min="9" max="9" width="30.42578125" customWidth="1"/>
    <col min="10" max="10" width="18.5703125" customWidth="1"/>
    <col min="11" max="11" width="15.140625" style="30" customWidth="1"/>
    <col min="12" max="12" width="15.5703125" style="30" customWidth="1"/>
    <col min="13" max="13" width="43.5703125" customWidth="1"/>
    <col min="14" max="14" width="61.140625" customWidth="1"/>
    <col min="15" max="15" width="21" bestFit="1" customWidth="1"/>
    <col min="16" max="16" width="53.140625" bestFit="1" customWidth="1"/>
    <col min="17" max="17" width="42.42578125" style="30" bestFit="1" customWidth="1"/>
    <col min="18" max="18" width="53.140625" style="30" bestFit="1" customWidth="1"/>
    <col min="19" max="19" width="21" customWidth="1"/>
    <col min="20" max="20" width="26" bestFit="1" customWidth="1"/>
    <col min="21" max="21" width="17.85546875" customWidth="1"/>
    <col min="22" max="22" width="30.5703125" bestFit="1" customWidth="1"/>
    <col min="23" max="23" width="23.85546875" customWidth="1"/>
    <col min="25" max="25" width="10" customWidth="1"/>
    <col min="28" max="28" width="13.140625" customWidth="1"/>
    <col min="30" max="30" width="18.7109375" customWidth="1"/>
    <col min="31" max="31" width="13.85546875" customWidth="1"/>
  </cols>
  <sheetData>
    <row r="2" spans="1:27" x14ac:dyDescent="0.25">
      <c r="A2" s="16" t="s">
        <v>164</v>
      </c>
      <c r="B2" s="16"/>
      <c r="C2" s="16" t="s">
        <v>165</v>
      </c>
      <c r="D2" s="16"/>
      <c r="E2" s="16"/>
      <c r="F2" s="16"/>
      <c r="G2" s="16"/>
      <c r="H2" s="16" t="s">
        <v>166</v>
      </c>
      <c r="I2" s="16"/>
      <c r="J2" s="16"/>
      <c r="K2" s="16"/>
      <c r="L2" s="16"/>
      <c r="M2" s="16"/>
      <c r="N2" s="16" t="s">
        <v>167</v>
      </c>
      <c r="O2" s="16"/>
      <c r="P2" s="16" t="s">
        <v>168</v>
      </c>
      <c r="Q2" s="16"/>
      <c r="R2" s="16"/>
      <c r="S2" s="16" t="s">
        <v>169</v>
      </c>
      <c r="T2" s="16" t="s">
        <v>170</v>
      </c>
      <c r="U2" s="16" t="s">
        <v>171</v>
      </c>
      <c r="V2" s="16" t="s">
        <v>172</v>
      </c>
      <c r="W2" s="16" t="s">
        <v>173</v>
      </c>
      <c r="X2" s="16"/>
      <c r="Y2" s="17"/>
      <c r="Z2" s="16"/>
      <c r="AA2" s="16"/>
    </row>
    <row r="4" spans="1:27" ht="60" x14ac:dyDescent="0.25">
      <c r="A4" s="30" t="s">
        <v>174</v>
      </c>
      <c r="B4" s="30"/>
      <c r="C4" s="30"/>
      <c r="E4" s="95" t="s">
        <v>175</v>
      </c>
      <c r="F4" s="95">
        <f>COUNTIF(Table_ErrorList[Section Name],"Not found")</f>
        <v>0</v>
      </c>
      <c r="G4" s="95"/>
      <c r="H4" s="30">
        <f ca="1">SUM(E7:OFFSET(Table_ErrorList[[#Headers],[Section '#]],ROWS(Table_ErrorList[Section '#]),0,1,1))</f>
        <v>1420</v>
      </c>
      <c r="I4" s="118" t="s">
        <v>176</v>
      </c>
      <c r="J4" s="7" t="s">
        <v>177</v>
      </c>
      <c r="K4" s="7"/>
      <c r="L4" s="7"/>
      <c r="M4" s="30"/>
      <c r="N4" s="30"/>
      <c r="O4" s="7" t="s">
        <v>178</v>
      </c>
      <c r="P4" s="30"/>
      <c r="S4" s="7" t="s">
        <v>179</v>
      </c>
      <c r="T4" s="30" t="s">
        <v>180</v>
      </c>
      <c r="U4" s="30">
        <f ca="1">COUNTIF(Table_ErrorList[[Message Bar Length]:[Details 2 Length]],"&lt;&gt;"&amp;" ")</f>
        <v>0</v>
      </c>
      <c r="V4" s="30"/>
      <c r="W4" s="30"/>
      <c r="X4" s="30"/>
      <c r="Y4" s="30"/>
      <c r="Z4" s="30"/>
      <c r="AA4" s="30"/>
    </row>
    <row r="5" spans="1:27" x14ac:dyDescent="0.25">
      <c r="A5" s="30" t="s">
        <v>181</v>
      </c>
      <c r="B5" s="30" t="s">
        <v>182</v>
      </c>
      <c r="C5" s="30" t="s">
        <v>183</v>
      </c>
      <c r="D5" s="30" t="s">
        <v>184</v>
      </c>
      <c r="H5" s="30" t="s">
        <v>182</v>
      </c>
      <c r="I5" s="30" t="s">
        <v>185</v>
      </c>
      <c r="J5" s="30" t="s">
        <v>182</v>
      </c>
      <c r="M5" s="30" t="s">
        <v>185</v>
      </c>
      <c r="N5" s="30" t="s">
        <v>185</v>
      </c>
      <c r="O5" s="30" t="s">
        <v>185</v>
      </c>
      <c r="P5" s="30" t="s">
        <v>185</v>
      </c>
      <c r="Q5" s="30" t="s">
        <v>185</v>
      </c>
      <c r="R5" s="30" t="s">
        <v>182</v>
      </c>
      <c r="S5" s="30" t="s">
        <v>185</v>
      </c>
      <c r="T5" s="30" t="s">
        <v>186</v>
      </c>
      <c r="U5" s="30">
        <v>150</v>
      </c>
      <c r="V5" s="30"/>
      <c r="W5" s="30"/>
      <c r="X5" s="30"/>
      <c r="Y5" s="30"/>
      <c r="Z5" s="30"/>
      <c r="AA5" s="30"/>
    </row>
    <row r="6" spans="1:27" ht="30" x14ac:dyDescent="0.25">
      <c r="A6" s="81" t="s">
        <v>171</v>
      </c>
      <c r="B6" s="81" t="s">
        <v>187</v>
      </c>
      <c r="C6" s="81" t="s">
        <v>188</v>
      </c>
      <c r="D6" s="81" t="s">
        <v>189</v>
      </c>
      <c r="E6" s="81" t="s">
        <v>190</v>
      </c>
      <c r="F6" s="81" t="s">
        <v>191</v>
      </c>
      <c r="G6" s="81" t="s">
        <v>192</v>
      </c>
      <c r="H6" s="99" t="s">
        <v>193</v>
      </c>
      <c r="I6" s="99" t="s">
        <v>194</v>
      </c>
      <c r="J6" s="116" t="s">
        <v>195</v>
      </c>
      <c r="K6" s="99" t="s">
        <v>196</v>
      </c>
      <c r="L6" s="99" t="s">
        <v>197</v>
      </c>
      <c r="M6" s="81" t="s">
        <v>12</v>
      </c>
      <c r="N6" s="81" t="s">
        <v>172</v>
      </c>
      <c r="O6" s="81" t="s">
        <v>198</v>
      </c>
      <c r="P6" s="81" t="s">
        <v>199</v>
      </c>
      <c r="Q6" s="81" t="s">
        <v>200</v>
      </c>
      <c r="R6" s="81" t="s">
        <v>201</v>
      </c>
      <c r="S6" s="81" t="s">
        <v>202</v>
      </c>
      <c r="T6" s="81" t="s">
        <v>203</v>
      </c>
      <c r="U6" s="81" t="s">
        <v>204</v>
      </c>
      <c r="V6" s="81" t="s">
        <v>205</v>
      </c>
      <c r="W6" s="30"/>
      <c r="X6" s="30"/>
      <c r="Y6" s="30"/>
      <c r="Z6" s="30"/>
      <c r="AA6" s="30"/>
    </row>
    <row r="7" spans="1:27" ht="120" x14ac:dyDescent="0.25">
      <c r="A7" s="101" t="b">
        <v>0</v>
      </c>
      <c r="B7" s="101" t="str">
        <f ca="1">IFERROR(INDIRECT(Table_ErrorList[[#This Row],[Attention To Named Range]]),"Error")</f>
        <v>Error</v>
      </c>
      <c r="C7" s="96">
        <v>1</v>
      </c>
      <c r="D7" s="96" t="str">
        <f ca="1">IF(Table_ErrorList[[#This Row],[Manual Hierarchy]]="",CONCATENATE(TEXT(Table_ErrorList[[#This Row],[Section '#]],"00"),"-",TEXT(COUNTIF($E7:OFFSET(Table_ErrorList[[#Headers],[Section '#]],1,0,1,1),Table_ErrorList[[#This Row],[Section '#]]),"000")),Table_ErrorList[[#This Row],[Manual Hierarchy]])</f>
        <v>00-001</v>
      </c>
      <c r="E7" s="98">
        <v>0</v>
      </c>
      <c r="F7" s="98" t="str">
        <f>IFERROR(VLOOKUP(Table_ErrorList[[#This Row],[Section '#]],Table_SectionNames[],MATCH(Table_SectionNames[[#Headers],[Name]],Table_SectionNames[#Headers],0),FALSE),"Not found")</f>
        <v>Sheet Errors</v>
      </c>
      <c r="G7" s="98"/>
      <c r="H7" s="101" t="str">
        <f>IFERROR(VLOOKUP(Table_ErrorList[[#This Row],[Attention To Named Range]],Table_NamedRanges[],MATCH(Table_NamedRanges[[#Headers],[Reference Type]],Table_NamedRanges[#Headers],0),FALSE),"Error")</f>
        <v>Error</v>
      </c>
      <c r="I7" s="96"/>
      <c r="J7" s="101" t="e">
        <f>IF(Table_ErrorList[[#This Row],[Manual Reference]]="",Table_ErrorList[[#This Row],[''Attention To'' Refence]],Table_ErrorList[[#This Row],[Manual Reference]])&amp;","</f>
        <v>#N/A</v>
      </c>
      <c r="K7" s="101" t="e">
        <f>SUBSTITUTE(SUBSTITUTE(VLOOKUP(Table_ErrorList[[#This Row],[Attention To Named Range]],Table_NamedRanges[],MATCH(Table_NamedRanges[[#Headers],[Reference Text]],Table_NamedRanges[#Headers],0),FALSE),"=",""),"'Travel Expense Summary'!","")</f>
        <v>#N/A</v>
      </c>
      <c r="L7" s="101"/>
      <c r="M7" s="81" t="s">
        <v>206</v>
      </c>
      <c r="N7" s="81" t="s">
        <v>207</v>
      </c>
      <c r="O7" s="81" t="b">
        <v>1</v>
      </c>
      <c r="P7" s="100" t="s">
        <v>208</v>
      </c>
      <c r="Q7" s="115" t="s">
        <v>209</v>
      </c>
      <c r="R7" s="102" t="str">
        <f>CONCATENATE(Table_ErrorList[[#This Row],[Details Explanation (Line '#1)]],IF(Table_ErrorList[[#This Row],[Details Explanation (Line '#2)]]&lt;&gt;"",CHAR(10)&amp;Table_ErrorList[[#This Row],[Details Explanation (Line '#2)]],""))</f>
        <v>This error is caused by using "Cut &amp; Paste" or "Copy &amp; Paste" as opposed to "Copy &amp; Paste Values".
Undo' your work until the error is resolved.</v>
      </c>
      <c r="S7" s="81" t="b">
        <v>1</v>
      </c>
      <c r="T7" s="101" t="str">
        <f>IF(LEN(Table_ErrorList[[#This Row],[Message Bar Display]])&gt;$U$5,"Too Long, Characters = "&amp;LEN(Table_ErrorList[[#This Row],[Message Bar Display]])," ")</f>
        <v xml:space="preserve"> </v>
      </c>
      <c r="U7" s="101" t="str">
        <f>IF(LEN(Table_ErrorList[[#This Row],[Details Explanation (Line '#1)]])&gt;$U$5,"Too Long, Characters = "&amp;LEN(Table_ErrorList[[#This Row],[Details Explanation (Line '#1)]])," ")</f>
        <v xml:space="preserve"> </v>
      </c>
      <c r="V7" s="101" t="str">
        <f>IF(LEN(Table_ErrorList[[#This Row],[Details Explanation (Line '#2)]])&gt;$U$5,"Too Long, Characters = "&amp;LEN(Table_ErrorList[[#This Row],[Details Explanation (Line '#2)]])," ")</f>
        <v xml:space="preserve"> </v>
      </c>
      <c r="W7" s="30"/>
      <c r="X7" s="30"/>
      <c r="Y7" s="30"/>
      <c r="Z7" s="30"/>
      <c r="AA7" s="30"/>
    </row>
    <row r="8" spans="1:27" x14ac:dyDescent="0.25">
      <c r="A8" s="81" t="b">
        <f>FALSE</f>
        <v>0</v>
      </c>
      <c r="B8" s="81" t="str">
        <f ca="1">IFERROR(INDIRECT(Table_ErrorList[[#This Row],[Attention To Named Range]]),"Error")</f>
        <v>Ms.</v>
      </c>
      <c r="C8" s="96">
        <v>10</v>
      </c>
      <c r="D8" s="97" t="str">
        <f ca="1">IF(Table_ErrorList[[#This Row],[Manual Hierarchy]]="",CONCATENATE(TEXT(Table_ErrorList[[#This Row],[Section '#]],"00"),"-",TEXT(COUNTIF($E8:OFFSET(Table_ErrorList[[#Headers],[Section '#]],1,0,1,1),Table_ErrorList[[#This Row],[Section '#]]),"000")),Table_ErrorList[[#This Row],[Manual Hierarchy]])</f>
        <v>01-001</v>
      </c>
      <c r="E8" s="98">
        <v>1</v>
      </c>
      <c r="F8" s="98" t="str">
        <f>IFERROR(VLOOKUP(Table_ErrorList[[#This Row],[Section '#]],Table_SectionNames[],MATCH(Table_SectionNames[[#Headers],[Name]],Table_SectionNames[#Headers],0),FALSE),"Not found")</f>
        <v>Payee Details</v>
      </c>
      <c r="G8" s="98"/>
      <c r="H8" s="81" t="str">
        <f>IFERROR(VLOOKUP(Table_ErrorList[[#This Row],[Attention To Named Range]],Table_NamedRanges[],MATCH(Table_NamedRanges[[#Headers],[Reference Type]],Table_NamedRanges[#Headers],0),FALSE),"Error")</f>
        <v>Single Cell</v>
      </c>
      <c r="I8" s="99" t="s">
        <v>210</v>
      </c>
      <c r="J8" s="81" t="str">
        <f>IF(Table_ErrorList[[#This Row],[Manual Reference]]="",Table_ErrorList[[#This Row],[''Attention To'' Refence]],Table_ErrorList[[#This Row],[Manual Reference]])&amp;","</f>
        <v>$C$12,</v>
      </c>
      <c r="K8" s="81" t="str">
        <f>SUBSTITUTE(SUBSTITUTE(VLOOKUP(Table_ErrorList[[#This Row],[Attention To Named Range]],Table_NamedRanges[],MATCH(Table_NamedRanges[[#Headers],[Reference Text]],Table_NamedRanges[#Headers],0),FALSE),"=",""),"'Travel Expense Summary'!","")</f>
        <v>$C$12</v>
      </c>
      <c r="L8" s="81"/>
      <c r="M8" s="81" t="s">
        <v>211</v>
      </c>
      <c r="N8" s="81" t="s">
        <v>212</v>
      </c>
      <c r="O8" s="81" t="b">
        <v>1</v>
      </c>
      <c r="P8" s="100" t="s">
        <v>213</v>
      </c>
      <c r="Q8" s="100"/>
      <c r="R8" s="100" t="str">
        <f>CONCATENATE(Table_ErrorList[[#This Row],[Details Explanation (Line '#1)]],IF(Table_ErrorList[[#This Row],[Details Explanation (Line '#2)]]&lt;&gt;"",CHAR(10)&amp;Table_ErrorList[[#This Row],[Details Explanation (Line '#2)]],""))</f>
        <v xml:space="preserve">This is a free text field with a 15 character limit. </v>
      </c>
      <c r="S8" s="81" t="b">
        <v>1</v>
      </c>
      <c r="T8" s="81" t="str">
        <f>IF(LEN(Table_ErrorList[[#This Row],[Message Bar Display]])&gt;$U$5,"Too Long, Characters = "&amp;LEN(Table_ErrorList[[#This Row],[Message Bar Display]])," ")</f>
        <v xml:space="preserve"> </v>
      </c>
      <c r="U8" s="81" t="str">
        <f>IF(LEN(Table_ErrorList[[#This Row],[Details Explanation (Line '#1)]])&gt;$U$5,"Too Long, Characters = "&amp;LEN(Table_ErrorList[[#This Row],[Details Explanation (Line '#1)]])," ")</f>
        <v xml:space="preserve"> </v>
      </c>
      <c r="V8" s="81" t="str">
        <f>IF(LEN(Table_ErrorList[[#This Row],[Details Explanation (Line '#2)]])&gt;$U$5,"Too Long, Characters = "&amp;LEN(Table_ErrorList[[#This Row],[Details Explanation (Line '#2)]])," ")</f>
        <v xml:space="preserve"> </v>
      </c>
      <c r="W8" s="30"/>
      <c r="X8" s="30"/>
      <c r="Y8" s="30"/>
      <c r="Z8" s="30"/>
      <c r="AA8" s="30"/>
    </row>
    <row r="9" spans="1:27" x14ac:dyDescent="0.25">
      <c r="A9" s="81" t="b">
        <f ca="1">OR(ISBLANK(Table_ErrorList[[#This Row],[Relevant Cell Value]]),Table_ErrorList[[#This Row],[Relevant Cell Value]]=Dropdown_NotSelectedValue,Table_ErrorList[[#This Row],[Relevant Cell Value]]=0)</f>
        <v>0</v>
      </c>
      <c r="B9" s="81" t="str">
        <f ca="1">IFERROR(INDIRECT(Table_ErrorList[[#This Row],[Attention To Named Range]]),"Error")</f>
        <v>Hailey</v>
      </c>
      <c r="C9" s="96">
        <v>20</v>
      </c>
      <c r="D9" s="96" t="str">
        <f ca="1">IF(Table_ErrorList[[#This Row],[Manual Hierarchy]]="",CONCATENATE(TEXT(Table_ErrorList[[#This Row],[Section '#]],"00"),"-",TEXT(COUNTIF($E9:OFFSET(Table_ErrorList[[#Headers],[Section '#]],1,0,1,1),Table_ErrorList[[#This Row],[Section '#]]),"000")),Table_ErrorList[[#This Row],[Manual Hierarchy]])</f>
        <v>01-002</v>
      </c>
      <c r="E9" s="98">
        <v>1</v>
      </c>
      <c r="F9" s="98" t="str">
        <f>IFERROR(VLOOKUP(Table_ErrorList[[#This Row],[Section '#]],Table_SectionNames[],MATCH(Table_SectionNames[[#Headers],[Name]],Table_SectionNames[#Headers],0),FALSE),"Not found")</f>
        <v>Payee Details</v>
      </c>
      <c r="G9" s="98"/>
      <c r="H9" s="81" t="str">
        <f>IFERROR(VLOOKUP(Table_ErrorList[[#This Row],[Attention To Named Range]],Table_NamedRanges[],MATCH(Table_NamedRanges[[#Headers],[Reference Type]],Table_NamedRanges[#Headers],0),FALSE),"Error")</f>
        <v>Single Cell</v>
      </c>
      <c r="I9" s="81" t="s">
        <v>214</v>
      </c>
      <c r="J9" s="81" t="str">
        <f>IF(Table_ErrorList[[#This Row],[Manual Reference]]="",Table_ErrorList[[#This Row],[''Attention To'' Refence]],Table_ErrorList[[#This Row],[Manual Reference]])&amp;","</f>
        <v>$C$13,</v>
      </c>
      <c r="K9" s="81" t="str">
        <f>SUBSTITUTE(SUBSTITUTE(VLOOKUP(Table_ErrorList[[#This Row],[Attention To Named Range]],Table_NamedRanges[],MATCH(Table_NamedRanges[[#Headers],[Reference Text]],Table_NamedRanges[#Headers],0),FALSE),"=",""),"'Travel Expense Summary'!","")</f>
        <v>$C$13</v>
      </c>
      <c r="L9" s="81"/>
      <c r="M9" s="81" t="s">
        <v>215</v>
      </c>
      <c r="N9" s="81" t="s">
        <v>216</v>
      </c>
      <c r="O9" s="81" t="b">
        <v>1</v>
      </c>
      <c r="P9" s="100" t="s">
        <v>217</v>
      </c>
      <c r="Q9" s="100"/>
      <c r="R9" s="100" t="str">
        <f>CONCATENATE(Table_ErrorList[[#This Row],[Details Explanation (Line '#1)]],IF(Table_ErrorList[[#This Row],[Details Explanation (Line '#2)]]&lt;&gt;"",CHAR(10)&amp;Table_ErrorList[[#This Row],[Details Explanation (Line '#2)]],""))</f>
        <v xml:space="preserve">This is a free text field with a 40 character limit. </v>
      </c>
      <c r="S9" s="81" t="b">
        <v>1</v>
      </c>
      <c r="T9" s="81" t="str">
        <f>IF(LEN(Table_ErrorList[[#This Row],[Message Bar Display]])&gt;$U$5,"Too Long, Characters = "&amp;LEN(Table_ErrorList[[#This Row],[Message Bar Display]])," ")</f>
        <v xml:space="preserve"> </v>
      </c>
      <c r="U9" s="81" t="str">
        <f>IF(LEN(Table_ErrorList[[#This Row],[Details Explanation (Line '#1)]])&gt;$U$5,"Too Long, Characters = "&amp;LEN(Table_ErrorList[[#This Row],[Details Explanation (Line '#1)]])," ")</f>
        <v xml:space="preserve"> </v>
      </c>
      <c r="V9" s="81" t="str">
        <f>IF(LEN(Table_ErrorList[[#This Row],[Details Explanation (Line '#2)]])&gt;$U$5,"Too Long, Characters = "&amp;LEN(Table_ErrorList[[#This Row],[Details Explanation (Line '#2)]])," ")</f>
        <v xml:space="preserve"> </v>
      </c>
      <c r="W9" s="30"/>
      <c r="X9" s="30"/>
      <c r="Y9" s="30"/>
      <c r="Z9" s="30"/>
      <c r="AA9" s="30"/>
    </row>
    <row r="10" spans="1:27" x14ac:dyDescent="0.25">
      <c r="A10" s="81" t="b">
        <f ca="1">OR(ISBLANK(Table_ErrorList[[#This Row],[Relevant Cell Value]]),Table_ErrorList[[#This Row],[Relevant Cell Value]]=Dropdown_NotSelectedValue,Table_ErrorList[[#This Row],[Relevant Cell Value]]=0)</f>
        <v>0</v>
      </c>
      <c r="B10" s="81" t="str">
        <f ca="1">IFERROR(INDIRECT(Table_ErrorList[[#This Row],[Attention To Named Range]]),"Error")</f>
        <v>Masiero</v>
      </c>
      <c r="C10" s="96">
        <v>30</v>
      </c>
      <c r="D10" s="96" t="str">
        <f ca="1">IF(Table_ErrorList[[#This Row],[Manual Hierarchy]]="",CONCATENATE(TEXT(Table_ErrorList[[#This Row],[Section '#]],"00"),"-",TEXT(COUNTIF($E10:OFFSET(Table_ErrorList[[#Headers],[Section '#]],1,0,1,1),Table_ErrorList[[#This Row],[Section '#]]),"000")),Table_ErrorList[[#This Row],[Manual Hierarchy]])</f>
        <v>01-003</v>
      </c>
      <c r="E10" s="98">
        <v>1</v>
      </c>
      <c r="F10" s="98" t="str">
        <f>IFERROR(VLOOKUP(Table_ErrorList[[#This Row],[Section '#]],Table_SectionNames[],MATCH(Table_SectionNames[[#Headers],[Name]],Table_SectionNames[#Headers],0),FALSE),"Not found")</f>
        <v>Payee Details</v>
      </c>
      <c r="G10" s="98"/>
      <c r="H10" s="81" t="str">
        <f>IFERROR(VLOOKUP(Table_ErrorList[[#This Row],[Attention To Named Range]],Table_NamedRanges[],MATCH(Table_NamedRanges[[#Headers],[Reference Type]],Table_NamedRanges[#Headers],0),FALSE),"Error")</f>
        <v>Single Cell</v>
      </c>
      <c r="I10" s="81" t="s">
        <v>218</v>
      </c>
      <c r="J10" s="81" t="str">
        <f>IF(Table_ErrorList[[#This Row],[Manual Reference]]="",Table_ErrorList[[#This Row],[''Attention To'' Refence]],Table_ErrorList[[#This Row],[Manual Reference]])&amp;","</f>
        <v>$C$14,</v>
      </c>
      <c r="K10" s="81" t="str">
        <f>SUBSTITUTE(SUBSTITUTE(VLOOKUP(Table_ErrorList[[#This Row],[Attention To Named Range]],Table_NamedRanges[],MATCH(Table_NamedRanges[[#Headers],[Reference Text]],Table_NamedRanges[#Headers],0),FALSE),"=",""),"'Travel Expense Summary'!","")</f>
        <v>$C$14</v>
      </c>
      <c r="L10" s="81"/>
      <c r="M10" s="81" t="s">
        <v>219</v>
      </c>
      <c r="N10" s="81" t="s">
        <v>220</v>
      </c>
      <c r="O10" s="81" t="b">
        <v>1</v>
      </c>
      <c r="P10" s="100" t="s">
        <v>217</v>
      </c>
      <c r="Q10" s="100"/>
      <c r="R10" s="100" t="str">
        <f>CONCATENATE(Table_ErrorList[[#This Row],[Details Explanation (Line '#1)]],IF(Table_ErrorList[[#This Row],[Details Explanation (Line '#2)]]&lt;&gt;"",CHAR(10)&amp;Table_ErrorList[[#This Row],[Details Explanation (Line '#2)]],""))</f>
        <v xml:space="preserve">This is a free text field with a 40 character limit. </v>
      </c>
      <c r="S10" s="81" t="b">
        <v>1</v>
      </c>
      <c r="T10" s="81" t="str">
        <f>IF(LEN(Table_ErrorList[[#This Row],[Message Bar Display]])&gt;$U$5,"Too Long, Characters = "&amp;LEN(Table_ErrorList[[#This Row],[Message Bar Display]])," ")</f>
        <v xml:space="preserve"> </v>
      </c>
      <c r="U10" s="81" t="str">
        <f>IF(LEN(Table_ErrorList[[#This Row],[Details Explanation (Line '#1)]])&gt;$U$5,"Too Long, Characters = "&amp;LEN(Table_ErrorList[[#This Row],[Details Explanation (Line '#1)]])," ")</f>
        <v xml:space="preserve"> </v>
      </c>
      <c r="V10" s="81" t="str">
        <f>IF(LEN(Table_ErrorList[[#This Row],[Details Explanation (Line '#2)]])&gt;$U$5,"Too Long, Characters = "&amp;LEN(Table_ErrorList[[#This Row],[Details Explanation (Line '#2)]])," ")</f>
        <v xml:space="preserve"> </v>
      </c>
      <c r="W10" s="30"/>
      <c r="X10" s="30"/>
      <c r="Y10" s="30"/>
      <c r="Z10" s="30"/>
      <c r="AA10" s="30"/>
    </row>
    <row r="11" spans="1:27" ht="33.75" x14ac:dyDescent="0.25">
      <c r="A11" s="81" t="b">
        <f ca="1">OR(ISBLANK(Table_ErrorList[[#This Row],[Relevant Cell Value]]),Table_ErrorList[[#This Row],[Relevant Cell Value]]=Dropdown_NotSelectedValue,Table_ErrorList[[#This Row],[Relevant Cell Value]]=0)</f>
        <v>0</v>
      </c>
      <c r="B11" s="101" t="str">
        <f ca="1">IFERROR(INDIRECT(Table_ErrorList[[#This Row],[Attention To Named Range]]),"Error")</f>
        <v>935 Ramsey Lake Road</v>
      </c>
      <c r="C11" s="96">
        <v>40</v>
      </c>
      <c r="D11" s="96" t="str">
        <f ca="1">IF(Table_ErrorList[[#This Row],[Manual Hierarchy]]="",CONCATENATE(TEXT(Table_ErrorList[[#This Row],[Section '#]],"00"),"-",TEXT(COUNTIF($E11:OFFSET(Table_ErrorList[[#Headers],[Section '#]],1,0,1,1),Table_ErrorList[[#This Row],[Section '#]]),"000")),Table_ErrorList[[#This Row],[Manual Hierarchy]])</f>
        <v>01-004</v>
      </c>
      <c r="E11" s="98">
        <v>1</v>
      </c>
      <c r="F11" s="98" t="str">
        <f>IFERROR(VLOOKUP(Table_ErrorList[[#This Row],[Section '#]],Table_SectionNames[],MATCH(Table_SectionNames[[#Headers],[Name]],Table_SectionNames[#Headers],0),FALSE),"Not found")</f>
        <v>Payee Details</v>
      </c>
      <c r="G11" s="98"/>
      <c r="H11" s="81" t="str">
        <f>IFERROR(VLOOKUP(Table_ErrorList[[#This Row],[Attention To Named Range]],Table_NamedRanges[],MATCH(Table_NamedRanges[[#Headers],[Reference Type]],Table_NamedRanges[#Headers],0),FALSE),"Error")</f>
        <v>Single Cell</v>
      </c>
      <c r="I11" s="81" t="s">
        <v>221</v>
      </c>
      <c r="J11" s="101" t="str">
        <f>IF(Table_ErrorList[[#This Row],[Manual Reference]]="",Table_ErrorList[[#This Row],[''Attention To'' Refence]],Table_ErrorList[[#This Row],[Manual Reference]])&amp;","</f>
        <v>$C$15,</v>
      </c>
      <c r="K11" s="101" t="str">
        <f>SUBSTITUTE(SUBSTITUTE(VLOOKUP(Table_ErrorList[[#This Row],[Attention To Named Range]],Table_NamedRanges[],MATCH(Table_NamedRanges[[#Headers],[Reference Text]],Table_NamedRanges[#Headers],0),FALSE),"=",""),"'Travel Expense Summary'!","")</f>
        <v>$C$15</v>
      </c>
      <c r="L11" s="101"/>
      <c r="M11" s="81" t="s">
        <v>222</v>
      </c>
      <c r="N11" s="81" t="s">
        <v>223</v>
      </c>
      <c r="O11" s="81" t="b">
        <v>1</v>
      </c>
      <c r="P11" s="100" t="s">
        <v>217</v>
      </c>
      <c r="Q11" s="100" t="s">
        <v>224</v>
      </c>
      <c r="R11" s="100" t="str">
        <f>CONCATENATE(Table_ErrorList[[#This Row],[Details Explanation (Line '#1)]],IF(Table_ErrorList[[#This Row],[Details Explanation (Line '#2)]]&lt;&gt;"",CHAR(10)&amp;Table_ErrorList[[#This Row],[Details Explanation (Line '#2)]],""))</f>
        <v>This is a free text field with a 40 character limit. 
If details of your address do not fit in this field, include them in the 'Additional Details' field.</v>
      </c>
      <c r="S11" s="81" t="b">
        <v>1</v>
      </c>
      <c r="T11" s="81" t="str">
        <f>IF(LEN(Table_ErrorList[[#This Row],[Message Bar Display]])&gt;$U$5,"Too Long, Characters = "&amp;LEN(Table_ErrorList[[#This Row],[Message Bar Display]])," ")</f>
        <v xml:space="preserve"> </v>
      </c>
      <c r="U11" s="81" t="str">
        <f>IF(LEN(Table_ErrorList[[#This Row],[Details Explanation (Line '#1)]])&gt;$U$5,"Too Long, Characters = "&amp;LEN(Table_ErrorList[[#This Row],[Details Explanation (Line '#1)]])," ")</f>
        <v xml:space="preserve"> </v>
      </c>
      <c r="V11" s="81" t="str">
        <f>IF(LEN(Table_ErrorList[[#This Row],[Details Explanation (Line '#2)]])&gt;$U$5,"Too Long, Characters = "&amp;LEN(Table_ErrorList[[#This Row],[Details Explanation (Line '#2)]])," ")</f>
        <v xml:space="preserve"> </v>
      </c>
      <c r="W11" s="30"/>
      <c r="X11" s="30"/>
      <c r="Y11" s="30"/>
      <c r="Z11" s="30"/>
      <c r="AA11" s="30"/>
    </row>
    <row r="12" spans="1:27" s="30" customFormat="1" x14ac:dyDescent="0.25">
      <c r="A12" s="81" t="b">
        <f ca="1">OR(ISBLANK(Table_ErrorList[[#This Row],[Relevant Cell Value]]),Table_ErrorList[[#This Row],[Relevant Cell Value]]=Dropdown_NotSelectedValue,Table_ErrorList[[#This Row],[Relevant Cell Value]]=0)</f>
        <v>0</v>
      </c>
      <c r="B12" s="101" t="str">
        <f ca="1">IFERROR(INDIRECT(Table_ErrorList[[#This Row],[Attention To Named Range]]),"Error")</f>
        <v>Sudbury</v>
      </c>
      <c r="C12" s="96">
        <v>50</v>
      </c>
      <c r="D12" s="96" t="str">
        <f ca="1">IF(Table_ErrorList[[#This Row],[Manual Hierarchy]]="",CONCATENATE(TEXT(Table_ErrorList[[#This Row],[Section '#]],"00"),"-",TEXT(COUNTIF($E12:OFFSET(Table_ErrorList[[#Headers],[Section '#]],1,0,1,1),Table_ErrorList[[#This Row],[Section '#]]),"000")),Table_ErrorList[[#This Row],[Manual Hierarchy]])</f>
        <v>01-005</v>
      </c>
      <c r="E12" s="98">
        <v>1</v>
      </c>
      <c r="F12" s="98" t="str">
        <f>IFERROR(VLOOKUP(Table_ErrorList[[#This Row],[Section '#]],Table_SectionNames[],MATCH(Table_SectionNames[[#Headers],[Name]],Table_SectionNames[#Headers],0),FALSE),"Not found")</f>
        <v>Payee Details</v>
      </c>
      <c r="G12" s="98"/>
      <c r="H12" s="81" t="str">
        <f>IFERROR(VLOOKUP(Table_ErrorList[[#This Row],[Attention To Named Range]],Table_NamedRanges[],MATCH(Table_NamedRanges[[#Headers],[Reference Type]],Table_NamedRanges[#Headers],0),FALSE),"Error")</f>
        <v>Single Cell</v>
      </c>
      <c r="I12" s="81" t="s">
        <v>225</v>
      </c>
      <c r="J12" s="101" t="str">
        <f>IF(Table_ErrorList[[#This Row],[Manual Reference]]="",Table_ErrorList[[#This Row],[''Attention To'' Refence]],Table_ErrorList[[#This Row],[Manual Reference]])&amp;","</f>
        <v>$C$16,</v>
      </c>
      <c r="K12" s="101" t="str">
        <f>SUBSTITUTE(SUBSTITUTE(VLOOKUP(Table_ErrorList[[#This Row],[Attention To Named Range]],Table_NamedRanges[],MATCH(Table_NamedRanges[[#Headers],[Reference Text]],Table_NamedRanges[#Headers],0),FALSE),"=",""),"'Travel Expense Summary'!","")</f>
        <v>$C$16</v>
      </c>
      <c r="L12" s="101"/>
      <c r="M12" s="81" t="s">
        <v>226</v>
      </c>
      <c r="N12" s="81" t="s">
        <v>227</v>
      </c>
      <c r="O12" s="81" t="b">
        <v>1</v>
      </c>
      <c r="P12" s="100" t="s">
        <v>217</v>
      </c>
      <c r="Q12" s="100"/>
      <c r="R12" s="100" t="str">
        <f>CONCATENATE(Table_ErrorList[[#This Row],[Details Explanation (Line '#1)]],IF(Table_ErrorList[[#This Row],[Details Explanation (Line '#2)]]&lt;&gt;"",CHAR(10)&amp;Table_ErrorList[[#This Row],[Details Explanation (Line '#2)]],""))</f>
        <v xml:space="preserve">This is a free text field with a 40 character limit. </v>
      </c>
      <c r="S12" s="81" t="b">
        <v>1</v>
      </c>
      <c r="T12" s="81" t="str">
        <f>IF(LEN(Table_ErrorList[[#This Row],[Message Bar Display]])&gt;$U$5,"Too Long, Characters = "&amp;LEN(Table_ErrorList[[#This Row],[Message Bar Display]])," ")</f>
        <v xml:space="preserve"> </v>
      </c>
      <c r="U12" s="81" t="str">
        <f>IF(LEN(Table_ErrorList[[#This Row],[Details Explanation (Line '#1)]])&gt;$U$5,"Too Long, Characters = "&amp;LEN(Table_ErrorList[[#This Row],[Details Explanation (Line '#1)]])," ")</f>
        <v xml:space="preserve"> </v>
      </c>
      <c r="V12" s="81" t="str">
        <f>IF(LEN(Table_ErrorList[[#This Row],[Details Explanation (Line '#2)]])&gt;$U$5,"Too Long, Characters = "&amp;LEN(Table_ErrorList[[#This Row],[Details Explanation (Line '#2)]])," ")</f>
        <v xml:space="preserve"> </v>
      </c>
    </row>
    <row r="13" spans="1:27" ht="45" x14ac:dyDescent="0.25">
      <c r="A13" s="101" t="b">
        <f ca="1">OR(ISBLANK(Table_ErrorList[[#This Row],[Relevant Cell Value]]),Table_ErrorList[[#This Row],[Relevant Cell Value]]=Dropdown_NotSelectedValue,Table_ErrorList[[#This Row],[Relevant Cell Value]]=0)</f>
        <v>0</v>
      </c>
      <c r="B13" s="101" t="str">
        <f ca="1">IFERROR(INDIRECT(Table_ErrorList[[#This Row],[Attention To Named Range]]),"Error")</f>
        <v>ON</v>
      </c>
      <c r="C13" s="96">
        <v>55</v>
      </c>
      <c r="D13" s="96" t="str">
        <f ca="1">IF(Table_ErrorList[[#This Row],[Manual Hierarchy]]="",CONCATENATE(TEXT(Table_ErrorList[[#This Row],[Section '#]],"00"),"-",TEXT(COUNTIF($E13:OFFSET(Table_ErrorList[[#Headers],[Section '#]],1,0,1,1),Table_ErrorList[[#This Row],[Section '#]]),"000")),Table_ErrorList[[#This Row],[Manual Hierarchy]])</f>
        <v>01-006</v>
      </c>
      <c r="E13" s="98">
        <v>1</v>
      </c>
      <c r="F13" s="98" t="str">
        <f>IFERROR(VLOOKUP(Table_ErrorList[[#This Row],[Section '#]],Table_SectionNames[],MATCH(Table_SectionNames[[#Headers],[Name]],Table_SectionNames[#Headers],0),FALSE),"Not found")</f>
        <v>Payee Details</v>
      </c>
      <c r="G13" s="98"/>
      <c r="H13" s="101" t="str">
        <f>IFERROR(VLOOKUP(Table_ErrorList[[#This Row],[Attention To Named Range]],Table_NamedRanges[],MATCH(Table_NamedRanges[[#Headers],[Reference Type]],Table_NamedRanges[#Headers],0),FALSE),"Error")</f>
        <v>Single Cell</v>
      </c>
      <c r="I13" s="96" t="s">
        <v>228</v>
      </c>
      <c r="J13" s="101" t="str">
        <f>IF(Table_ErrorList[[#This Row],[Manual Reference]]="",Table_ErrorList[[#This Row],[''Attention To'' Refence]],Table_ErrorList[[#This Row],[Manual Reference]])&amp;","</f>
        <v>$C$17,</v>
      </c>
      <c r="K13" s="101" t="str">
        <f>SUBSTITUTE(SUBSTITUTE(VLOOKUP(Table_ErrorList[[#This Row],[Attention To Named Range]],Table_NamedRanges[],MATCH(Table_NamedRanges[[#Headers],[Reference Text]],Table_NamedRanges[#Headers],0),FALSE),"=",""),"'Travel Expense Summary'!","")</f>
        <v>$C$17</v>
      </c>
      <c r="L13" s="101"/>
      <c r="M13" s="81" t="s">
        <v>229</v>
      </c>
      <c r="N13" s="81" t="s">
        <v>230</v>
      </c>
      <c r="O13" s="81" t="b">
        <v>1</v>
      </c>
      <c r="P13" s="100" t="s">
        <v>231</v>
      </c>
      <c r="Q13" s="100" t="s">
        <v>232</v>
      </c>
      <c r="R13" s="102" t="str">
        <f>CONCATENATE(Table_ErrorList[[#This Row],[Details Explanation (Line '#1)]],IF(Table_ErrorList[[#This Row],[Details Explanation (Line '#2)]]&lt;&gt;"",CHAR(10)&amp;Table_ErrorList[[#This Row],[Details Explanation (Line '#2)]],""))</f>
        <v>If your address is in Canada, select the 'Province' abbreviation from the in-cell dropdown list.
If your address is outside of Canada, select 'Not in Canada' and include your country and postal code in the 'Additional Details' field.</v>
      </c>
      <c r="S13" s="81" t="b">
        <v>1</v>
      </c>
      <c r="T13" s="81" t="str">
        <f>IF(LEN(Table_ErrorList[[#This Row],[Message Bar Display]])&gt;$U$5,"Too Long, Characters = "&amp;LEN(Table_ErrorList[[#This Row],[Message Bar Display]])," ")</f>
        <v xml:space="preserve"> </v>
      </c>
      <c r="U13" s="81" t="str">
        <f>IF(LEN(Table_ErrorList[[#This Row],[Details Explanation (Line '#1)]])&gt;$U$5,"Too Long, Characters = "&amp;LEN(Table_ErrorList[[#This Row],[Details Explanation (Line '#1)]])," ")</f>
        <v xml:space="preserve"> </v>
      </c>
      <c r="V13" s="81" t="str">
        <f>IF(LEN(Table_ErrorList[[#This Row],[Details Explanation (Line '#2)]])&gt;$U$5,"Too Long, Characters = "&amp;LEN(Table_ErrorList[[#This Row],[Details Explanation (Line '#2)]])," ")</f>
        <v xml:space="preserve"> </v>
      </c>
      <c r="W13" s="30"/>
      <c r="X13" s="30"/>
      <c r="Y13" s="30"/>
      <c r="Z13" s="30"/>
      <c r="AA13" s="30"/>
    </row>
    <row r="14" spans="1:27" ht="33.75" x14ac:dyDescent="0.25">
      <c r="A14" s="81" t="b">
        <f ca="1">IF(Field06A_Province&lt;&gt;'Particulars Validation'!$R$21,OR(ISBLANK(Table_ErrorList[[#This Row],[Relevant Cell Value]]),Table_ErrorList[[#This Row],[Relevant Cell Value]]=Dropdown_NotSelectedValue,Table_ErrorList[[#This Row],[Relevant Cell Value]]=0),FALSE)</f>
        <v>0</v>
      </c>
      <c r="B14" s="101" t="str">
        <f ca="1">IFERROR(INDIRECT(Table_ErrorList[[#This Row],[Attention To Named Range]]),"Error")</f>
        <v>P3C 0C7</v>
      </c>
      <c r="C14" s="96">
        <v>60</v>
      </c>
      <c r="D14" s="96" t="str">
        <f ca="1">IF(Table_ErrorList[[#This Row],[Manual Hierarchy]]="",CONCATENATE(TEXT(Table_ErrorList[[#This Row],[Section '#]],"00"),"-",TEXT(COUNTIF($E14:OFFSET(Table_ErrorList[[#Headers],[Section '#]],1,0,1,1),Table_ErrorList[[#This Row],[Section '#]]),"000")),Table_ErrorList[[#This Row],[Manual Hierarchy]])</f>
        <v>01-007</v>
      </c>
      <c r="E14" s="98">
        <v>1</v>
      </c>
      <c r="F14" s="98" t="str">
        <f>IFERROR(VLOOKUP(Table_ErrorList[[#This Row],[Section '#]],Table_SectionNames[],MATCH(Table_SectionNames[[#Headers],[Name]],Table_SectionNames[#Headers],0),FALSE),"Not found")</f>
        <v>Payee Details</v>
      </c>
      <c r="G14" s="98"/>
      <c r="H14" s="81" t="str">
        <f>IFERROR(VLOOKUP(Table_ErrorList[[#This Row],[Attention To Named Range]],Table_NamedRanges[],MATCH(Table_NamedRanges[[#Headers],[Reference Type]],Table_NamedRanges[#Headers],0),FALSE),"Error")</f>
        <v>Single Cell</v>
      </c>
      <c r="I14" s="81" t="s">
        <v>233</v>
      </c>
      <c r="J14" s="101" t="str">
        <f>IF(Table_ErrorList[[#This Row],[Manual Reference]]="",Table_ErrorList[[#This Row],[''Attention To'' Refence]],Table_ErrorList[[#This Row],[Manual Reference]])&amp;","</f>
        <v>$E$17,</v>
      </c>
      <c r="K14" s="101" t="str">
        <f>SUBSTITUTE(SUBSTITUTE(VLOOKUP(Table_ErrorList[[#This Row],[Attention To Named Range]],Table_NamedRanges[],MATCH(Table_NamedRanges[[#Headers],[Reference Text]],Table_NamedRanges[#Headers],0),FALSE),"=",""),"'Travel Expense Summary'!","")</f>
        <v>$E$17</v>
      </c>
      <c r="L14" s="101"/>
      <c r="M14" s="81" t="s">
        <v>234</v>
      </c>
      <c r="N14" s="81" t="s">
        <v>235</v>
      </c>
      <c r="O14" s="81" t="b">
        <v>1</v>
      </c>
      <c r="P14" s="100" t="s">
        <v>236</v>
      </c>
      <c r="Q14" s="100" t="s">
        <v>237</v>
      </c>
      <c r="R14" s="100"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4" s="81" t="b">
        <v>1</v>
      </c>
      <c r="T14" s="81" t="str">
        <f>IF(LEN(Table_ErrorList[[#This Row],[Message Bar Display]])&gt;$U$5,"Too Long, Characters = "&amp;LEN(Table_ErrorList[[#This Row],[Message Bar Display]])," ")</f>
        <v xml:space="preserve"> </v>
      </c>
      <c r="U14" s="81" t="str">
        <f>IF(LEN(Table_ErrorList[[#This Row],[Details Explanation (Line '#1)]])&gt;$U$5,"Too Long, Characters = "&amp;LEN(Table_ErrorList[[#This Row],[Details Explanation (Line '#1)]])," ")</f>
        <v xml:space="preserve"> </v>
      </c>
      <c r="V14" s="81" t="str">
        <f>IF(LEN(Table_ErrorList[[#This Row],[Details Explanation (Line '#2)]])&gt;$U$5,"Too Long, Characters = "&amp;LEN(Table_ErrorList[[#This Row],[Details Explanation (Line '#2)]])," ")</f>
        <v xml:space="preserve"> </v>
      </c>
      <c r="W14" s="30"/>
      <c r="X14" s="30"/>
      <c r="Y14" s="30"/>
      <c r="Z14" s="30"/>
      <c r="AA14" s="30"/>
    </row>
    <row r="15" spans="1:27" s="30" customFormat="1" ht="33.75" x14ac:dyDescent="0.25">
      <c r="A15" s="101" t="b">
        <f>IF(Field06A_Province&lt;&gt;'Particulars Validation'!$R$21,'Particulars Validation'!$W$16=FALSE,FALSE)</f>
        <v>0</v>
      </c>
      <c r="B15" s="101" t="str">
        <f ca="1">IFERROR(INDIRECT(Table_ErrorList[[#This Row],[Attention To Named Range]]),"Error")</f>
        <v>P3C 0C7</v>
      </c>
      <c r="C15" s="96">
        <v>61</v>
      </c>
      <c r="D15" s="96" t="str">
        <f ca="1">IF(Table_ErrorList[[#This Row],[Manual Hierarchy]]="",CONCATENATE(TEXT(Table_ErrorList[[#This Row],[Section '#]],"00"),"-",TEXT(COUNTIF($E15:OFFSET(Table_ErrorList[[#Headers],[Section '#]],1,0,1,1),Table_ErrorList[[#This Row],[Section '#]]),"000")),Table_ErrorList[[#This Row],[Manual Hierarchy]])</f>
        <v>01-008</v>
      </c>
      <c r="E15" s="98">
        <v>1</v>
      </c>
      <c r="F15" s="98" t="str">
        <f>IFERROR(VLOOKUP(Table_ErrorList[[#This Row],[Section '#]],Table_SectionNames[],MATCH(Table_SectionNames[[#Headers],[Name]],Table_SectionNames[#Headers],0),FALSE),"Not found")</f>
        <v>Payee Details</v>
      </c>
      <c r="G15" s="98"/>
      <c r="H15" s="101" t="str">
        <f>IFERROR(VLOOKUP(Table_ErrorList[[#This Row],[Attention To Named Range]],Table_NamedRanges[],MATCH(Table_NamedRanges[[#Headers],[Reference Type]],Table_NamedRanges[#Headers],0),FALSE),"Error")</f>
        <v>Single Cell</v>
      </c>
      <c r="I15" s="96" t="s">
        <v>233</v>
      </c>
      <c r="J15" s="101" t="str">
        <f>IF(Table_ErrorList[[#This Row],[Manual Reference]]="",Table_ErrorList[[#This Row],[''Attention To'' Refence]],Table_ErrorList[[#This Row],[Manual Reference]])&amp;","</f>
        <v>$E$17,</v>
      </c>
      <c r="K15" s="101" t="str">
        <f>SUBSTITUTE(SUBSTITUTE(VLOOKUP(Table_ErrorList[[#This Row],[Attention To Named Range]],Table_NamedRanges[],MATCH(Table_NamedRanges[[#Headers],[Reference Text]],Table_NamedRanges[#Headers],0),FALSE),"=",""),"'Travel Expense Summary'!","")</f>
        <v>$E$17</v>
      </c>
      <c r="L15" s="101"/>
      <c r="M15" s="81" t="s">
        <v>238</v>
      </c>
      <c r="N15" s="81" t="s">
        <v>239</v>
      </c>
      <c r="O15" s="81" t="b">
        <v>1</v>
      </c>
      <c r="P15" s="100" t="s">
        <v>236</v>
      </c>
      <c r="Q15" s="100" t="s">
        <v>237</v>
      </c>
      <c r="R15" s="102"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5" s="81"/>
      <c r="T15" s="101" t="str">
        <f>IF(LEN(Table_ErrorList[[#This Row],[Message Bar Display]])&gt;$U$5,"Too Long, Characters = "&amp;LEN(Table_ErrorList[[#This Row],[Message Bar Display]])," ")</f>
        <v xml:space="preserve"> </v>
      </c>
      <c r="U15" s="101" t="str">
        <f>IF(LEN(Table_ErrorList[[#This Row],[Details Explanation (Line '#1)]])&gt;$U$5,"Too Long, Characters = "&amp;LEN(Table_ErrorList[[#This Row],[Details Explanation (Line '#1)]])," ")</f>
        <v xml:space="preserve"> </v>
      </c>
      <c r="V15" s="101" t="str">
        <f>IF(LEN(Table_ErrorList[[#This Row],[Details Explanation (Line '#2)]])&gt;$U$5,"Too Long, Characters = "&amp;LEN(Table_ErrorList[[#This Row],[Details Explanation (Line '#2)]])," ")</f>
        <v xml:space="preserve"> </v>
      </c>
    </row>
    <row r="16" spans="1:27" s="30" customFormat="1" x14ac:dyDescent="0.25">
      <c r="A16" s="81" t="b">
        <f ca="1">OR(ISBLANK(Table_ErrorList[[#This Row],[Relevant Cell Value]]),Table_ErrorList[[#This Row],[Relevant Cell Value]]=Dropdown_NotSelectedValue,Table_ErrorList[[#This Row],[Relevant Cell Value]]=0)</f>
        <v>0</v>
      </c>
      <c r="B16" s="101" t="str">
        <f ca="1">IFERROR(INDIRECT(Table_ErrorList[[#This Row],[Attention To Named Range]]),"Error")</f>
        <v>Home</v>
      </c>
      <c r="C16" s="96">
        <v>70</v>
      </c>
      <c r="D16" s="96" t="str">
        <f ca="1">IF(Table_ErrorList[[#This Row],[Manual Hierarchy]]="",CONCATENATE(TEXT(Table_ErrorList[[#This Row],[Section '#]],"00"),"-",TEXT(COUNTIF($E16:OFFSET(Table_ErrorList[[#Headers],[Section '#]],1,0,1,1),Table_ErrorList[[#This Row],[Section '#]]),"000")),Table_ErrorList[[#This Row],[Manual Hierarchy]])</f>
        <v>01-009</v>
      </c>
      <c r="E16" s="98">
        <v>1</v>
      </c>
      <c r="F16" s="98" t="str">
        <f>IFERROR(VLOOKUP(Table_ErrorList[[#This Row],[Section '#]],Table_SectionNames[],MATCH(Table_SectionNames[[#Headers],[Name]],Table_SectionNames[#Headers],0),FALSE),"Not found")</f>
        <v>Payee Details</v>
      </c>
      <c r="G16" s="98"/>
      <c r="H16" s="81" t="str">
        <f>IFERROR(VLOOKUP(Table_ErrorList[[#This Row],[Attention To Named Range]],Table_NamedRanges[],MATCH(Table_NamedRanges[[#Headers],[Reference Type]],Table_NamedRanges[#Headers],0),FALSE),"Error")</f>
        <v>Single Cell</v>
      </c>
      <c r="I16" s="81" t="s">
        <v>240</v>
      </c>
      <c r="J16" s="101" t="str">
        <f>IF(Table_ErrorList[[#This Row],[Manual Reference]]="",Table_ErrorList[[#This Row],[''Attention To'' Refence]],Table_ErrorList[[#This Row],[Manual Reference]])&amp;","</f>
        <v>$C$18,</v>
      </c>
      <c r="K16" s="101" t="str">
        <f>SUBSTITUTE(SUBSTITUTE(VLOOKUP(Table_ErrorList[[#This Row],[Attention To Named Range]],Table_NamedRanges[],MATCH(Table_NamedRanges[[#Headers],[Reference Text]],Table_NamedRanges[#Headers],0),FALSE),"=",""),"'Travel Expense Summary'!","")</f>
        <v>$C$18</v>
      </c>
      <c r="L16" s="101"/>
      <c r="M16" s="81" t="s">
        <v>241</v>
      </c>
      <c r="N16" s="81" t="s">
        <v>242</v>
      </c>
      <c r="O16" s="81" t="b">
        <v>1</v>
      </c>
      <c r="P16" s="100" t="s">
        <v>243</v>
      </c>
      <c r="Q16" s="100"/>
      <c r="R16" s="100" t="str">
        <f>CONCATENATE(Table_ErrorList[[#This Row],[Details Explanation (Line '#1)]],IF(Table_ErrorList[[#This Row],[Details Explanation (Line '#2)]]&lt;&gt;"",CHAR(10)&amp;Table_ErrorList[[#This Row],[Details Explanation (Line '#2)]],""))</f>
        <v>Select an 'Address Type' from the in-cell dropdown list.</v>
      </c>
      <c r="S16" s="81" t="b">
        <v>1</v>
      </c>
      <c r="T16" s="81" t="str">
        <f>IF(LEN(Table_ErrorList[[#This Row],[Message Bar Display]])&gt;$U$5,"Too Long, Characters = "&amp;LEN(Table_ErrorList[[#This Row],[Message Bar Display]])," ")</f>
        <v xml:space="preserve"> </v>
      </c>
      <c r="U16" s="81" t="str">
        <f>IF(LEN(Table_ErrorList[[#This Row],[Details Explanation (Line '#1)]])&gt;$U$5,"Too Long, Characters = "&amp;LEN(Table_ErrorList[[#This Row],[Details Explanation (Line '#1)]])," ")</f>
        <v xml:space="preserve"> </v>
      </c>
      <c r="V16" s="81" t="str">
        <f>IF(LEN(Table_ErrorList[[#This Row],[Details Explanation (Line '#2)]])&gt;$U$5,"Too Long, Characters = "&amp;LEN(Table_ErrorList[[#This Row],[Details Explanation (Line '#2)]])," ")</f>
        <v xml:space="preserve"> </v>
      </c>
    </row>
    <row r="17" spans="1:22" s="30" customFormat="1" ht="45" x14ac:dyDescent="0.25">
      <c r="A17" s="101" t="b">
        <f ca="1">OR(ISBLANK(Table_ErrorList[[#This Row],[Relevant Cell Value]]),Table_ErrorList[[#This Row],[Relevant Cell Value]]=Dropdown_NotSelectedValue,Table_ErrorList[[#This Row],[Relevant Cell Value]]=0)</f>
        <v>0</v>
      </c>
      <c r="B17" s="101" t="str">
        <f ca="1">IFERROR(INDIRECT(Table_ErrorList[[#This Row],[Attention To Named Range]]),"Error")</f>
        <v>hsplacements@nosm.ca</v>
      </c>
      <c r="C17" s="96">
        <v>71</v>
      </c>
      <c r="D17" s="96" t="str">
        <f ca="1">IF(Table_ErrorList[[#This Row],[Manual Hierarchy]]="",CONCATENATE(TEXT(Table_ErrorList[[#This Row],[Section '#]],"00"),"-",TEXT(COUNTIF($E17:OFFSET(Table_ErrorList[[#Headers],[Section '#]],1,0,1,1),Table_ErrorList[[#This Row],[Section '#]]),"000")),Table_ErrorList[[#This Row],[Manual Hierarchy]])</f>
        <v>01-010</v>
      </c>
      <c r="E17" s="98">
        <v>1</v>
      </c>
      <c r="F17" s="98" t="str">
        <f>IFERROR(VLOOKUP(Table_ErrorList[[#This Row],[Section '#]],Table_SectionNames[],MATCH(Table_SectionNames[[#Headers],[Name]],Table_SectionNames[#Headers],0),FALSE),"Not found")</f>
        <v>Payee Details</v>
      </c>
      <c r="G17" s="98"/>
      <c r="H17" s="101" t="str">
        <f>IFERROR(VLOOKUP(Table_ErrorList[[#This Row],[Attention To Named Range]],Table_NamedRanges[],MATCH(Table_NamedRanges[[#Headers],[Reference Type]],Table_NamedRanges[#Headers],0),FALSE),"Error")</f>
        <v>Single Cell</v>
      </c>
      <c r="I17" s="96" t="s">
        <v>244</v>
      </c>
      <c r="J17" s="101" t="str">
        <f>IF(Table_ErrorList[[#This Row],[Manual Reference]]="",Table_ErrorList[[#This Row],[''Attention To'' Refence]],Table_ErrorList[[#This Row],[Manual Reference]])&amp;","</f>
        <v>$C$19,</v>
      </c>
      <c r="K17" s="101" t="str">
        <f>SUBSTITUTE(SUBSTITUTE(VLOOKUP(Table_ErrorList[[#This Row],[Attention To Named Range]],Table_NamedRanges[],MATCH(Table_NamedRanges[[#Headers],[Reference Text]],Table_NamedRanges[#Headers],0),FALSE),"=",""),"'Travel Expense Summary'!","")</f>
        <v>$C$19</v>
      </c>
      <c r="L17" s="101"/>
      <c r="M17" s="81" t="s">
        <v>245</v>
      </c>
      <c r="N17" s="81" t="s">
        <v>246</v>
      </c>
      <c r="O17" s="81" t="b">
        <v>1</v>
      </c>
      <c r="P17" s="100" t="s">
        <v>247</v>
      </c>
      <c r="Q17" s="100" t="s">
        <v>248</v>
      </c>
      <c r="R17" s="102"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
If you do not have an email address, enter the email address of your NOSM contact.</v>
      </c>
      <c r="S17" s="81" t="b">
        <v>1</v>
      </c>
      <c r="T17" s="81" t="str">
        <f>IF(LEN(Table_ErrorList[[#This Row],[Message Bar Display]])&gt;$U$5,"Too Long, Characters = "&amp;LEN(Table_ErrorList[[#This Row],[Message Bar Display]])," ")</f>
        <v xml:space="preserve"> </v>
      </c>
      <c r="U17" s="81" t="str">
        <f>IF(LEN(Table_ErrorList[[#This Row],[Details Explanation (Line '#1)]])&gt;$U$5,"Too Long, Characters = "&amp;LEN(Table_ErrorList[[#This Row],[Details Explanation (Line '#1)]])," ")</f>
        <v xml:space="preserve"> </v>
      </c>
      <c r="V17" s="81" t="str">
        <f>IF(LEN(Table_ErrorList[[#This Row],[Details Explanation (Line '#2)]])&gt;$U$5,"Too Long, Characters = "&amp;LEN(Table_ErrorList[[#This Row],[Details Explanation (Line '#2)]])," ")</f>
        <v xml:space="preserve"> </v>
      </c>
    </row>
    <row r="18" spans="1:22" s="30" customFormat="1" ht="33.75" x14ac:dyDescent="0.25">
      <c r="A18" s="101" t="b">
        <f>FALSE</f>
        <v>0</v>
      </c>
      <c r="B18" s="101">
        <f ca="1">IFERROR(INDIRECT(Table_ErrorList[[#This Row],[Attention To Named Range]]),"Error")</f>
        <v>0</v>
      </c>
      <c r="C18" s="96">
        <v>72</v>
      </c>
      <c r="D18" s="96" t="str">
        <f ca="1">IF(Table_ErrorList[[#This Row],[Manual Hierarchy]]="",CONCATENATE(TEXT(Table_ErrorList[[#This Row],[Section '#]],"00"),"-",TEXT(COUNTIF($E18:OFFSET(Table_ErrorList[[#Headers],[Section '#]],1,0,1,1),Table_ErrorList[[#This Row],[Section '#]]),"000")),Table_ErrorList[[#This Row],[Manual Hierarchy]])</f>
        <v>01-011</v>
      </c>
      <c r="E18" s="98">
        <v>1</v>
      </c>
      <c r="F18" s="98" t="str">
        <f>IFERROR(VLOOKUP(Table_ErrorList[[#This Row],[Section '#]],Table_SectionNames[],MATCH(Table_SectionNames[[#Headers],[Name]],Table_SectionNames[#Headers],0),FALSE),"Not found")</f>
        <v>Payee Details</v>
      </c>
      <c r="G18" s="98"/>
      <c r="H18" s="101" t="str">
        <f>IFERROR(VLOOKUP(Table_ErrorList[[#This Row],[Attention To Named Range]],Table_NamedRanges[],MATCH(Table_NamedRanges[[#Headers],[Reference Type]],Table_NamedRanges[#Headers],0),FALSE),"Error")</f>
        <v>Single Cell</v>
      </c>
      <c r="I18" s="96" t="s">
        <v>249</v>
      </c>
      <c r="J18" s="101" t="str">
        <f>IF(Table_ErrorList[[#This Row],[Manual Reference]]="",Table_ErrorList[[#This Row],[''Attention To'' Refence]],Table_ErrorList[[#This Row],[Manual Reference]])&amp;","</f>
        <v>$C$20,</v>
      </c>
      <c r="K18" s="101" t="str">
        <f>SUBSTITUTE(SUBSTITUTE(VLOOKUP(Table_ErrorList[[#This Row],[Attention To Named Range]],Table_NamedRanges[],MATCH(Table_NamedRanges[[#Headers],[Reference Text]],Table_NamedRanges[#Headers],0),FALSE),"=",""),"'Travel Expense Summary'!","")</f>
        <v>$C$20</v>
      </c>
      <c r="L18" s="101"/>
      <c r="M18" s="81" t="s">
        <v>250</v>
      </c>
      <c r="N18" s="81" t="s">
        <v>251</v>
      </c>
      <c r="O18" s="81" t="b">
        <v>1</v>
      </c>
      <c r="P18" s="100" t="s">
        <v>252</v>
      </c>
      <c r="Q18" s="100" t="s">
        <v>253</v>
      </c>
      <c r="R18" s="102" t="str">
        <f>CONCATENATE(Table_ErrorList[[#This Row],[Details Explanation (Line '#1)]],IF(Table_ErrorList[[#This Row],[Details Explanation (Line '#2)]]&lt;&gt;"",CHAR(10)&amp;Table_ErrorList[[#This Row],[Details Explanation (Line '#2)]],""))</f>
        <v>Enter your birthdate in any format recognizable by Excel.
For example, it could be entered in full (ie. January 1, 2000) or it can be entered as DD/MM/YY or YYYY/MM/DD.</v>
      </c>
      <c r="S18" s="81" t="b">
        <v>1</v>
      </c>
      <c r="T18" s="81" t="str">
        <f>IF(LEN(Table_ErrorList[[#This Row],[Message Bar Display]])&gt;$U$5,"Too Long, Characters = "&amp;LEN(Table_ErrorList[[#This Row],[Message Bar Display]])," ")</f>
        <v xml:space="preserve"> </v>
      </c>
      <c r="U18" s="81" t="str">
        <f>IF(LEN(Table_ErrorList[[#This Row],[Details Explanation (Line '#1)]])&gt;$U$5,"Too Long, Characters = "&amp;LEN(Table_ErrorList[[#This Row],[Details Explanation (Line '#1)]])," ")</f>
        <v xml:space="preserve"> </v>
      </c>
      <c r="V18" s="81" t="str">
        <f>IF(LEN(Table_ErrorList[[#This Row],[Details Explanation (Line '#2)]])&gt;$U$5,"Too Long, Characters = "&amp;LEN(Table_ErrorList[[#This Row],[Details Explanation (Line '#2)]])," ")</f>
        <v xml:space="preserve"> </v>
      </c>
    </row>
    <row r="19" spans="1:22" ht="45" x14ac:dyDescent="0.25">
      <c r="A19" s="101" t="b">
        <f ca="1">OR(ISBLANK(Table_ErrorList[[#This Row],[Relevant Cell Value]]),Table_ErrorList[[#This Row],[Relevant Cell Value]]=Dropdown_NotSelectedValue,Table_ErrorList[[#This Row],[Relevant Cell Value]]=0)</f>
        <v>0</v>
      </c>
      <c r="B19" s="101">
        <f ca="1">IFERROR(INDIRECT(Table_ErrorList[[#This Row],[Attention To Named Range]]),"Error")</f>
        <v>7056754883</v>
      </c>
      <c r="C19" s="96">
        <v>73</v>
      </c>
      <c r="D19" s="96" t="str">
        <f ca="1">IF(Table_ErrorList[[#This Row],[Manual Hierarchy]]="",CONCATENATE(TEXT(Table_ErrorList[[#This Row],[Section '#]],"00"),"-",TEXT(COUNTIF($E19:OFFSET(Table_ErrorList[[#Headers],[Section '#]],1,0,1,1),Table_ErrorList[[#This Row],[Section '#]]),"000")),Table_ErrorList[[#This Row],[Manual Hierarchy]])</f>
        <v>01-012</v>
      </c>
      <c r="E19" s="98">
        <v>1</v>
      </c>
      <c r="F19" s="98" t="str">
        <f>IFERROR(VLOOKUP(Table_ErrorList[[#This Row],[Section '#]],Table_SectionNames[],MATCH(Table_SectionNames[[#Headers],[Name]],Table_SectionNames[#Headers],0),FALSE),"Not found")</f>
        <v>Payee Details</v>
      </c>
      <c r="G19" s="98"/>
      <c r="H19" s="101" t="str">
        <f>IFERROR(VLOOKUP(Table_ErrorList[[#This Row],[Attention To Named Range]],Table_NamedRanges[],MATCH(Table_NamedRanges[[#Headers],[Reference Type]],Table_NamedRanges[#Headers],0),FALSE),"Error")</f>
        <v>Single Cell</v>
      </c>
      <c r="I19" s="96" t="s">
        <v>254</v>
      </c>
      <c r="J19" s="101" t="str">
        <f>IF(Table_ErrorList[[#This Row],[Manual Reference]]="",Table_ErrorList[[#This Row],[''Attention To'' Refence]],Table_ErrorList[[#This Row],[Manual Reference]])&amp;","</f>
        <v>$E$20,</v>
      </c>
      <c r="K19" s="101" t="str">
        <f>SUBSTITUTE(SUBSTITUTE(VLOOKUP(Table_ErrorList[[#This Row],[Attention To Named Range]],Table_NamedRanges[],MATCH(Table_NamedRanges[[#Headers],[Reference Text]],Table_NamedRanges[#Headers],0),FALSE),"=",""),"'Travel Expense Summary'!","")</f>
        <v>$E$20</v>
      </c>
      <c r="L19" s="101"/>
      <c r="M19" s="81" t="s">
        <v>255</v>
      </c>
      <c r="N19" s="81" t="s">
        <v>256</v>
      </c>
      <c r="O19" s="81" t="b">
        <v>1</v>
      </c>
      <c r="P19" s="100" t="s">
        <v>257</v>
      </c>
      <c r="Q19" s="100" t="s">
        <v>258</v>
      </c>
      <c r="R19" s="102" t="str">
        <f>CONCATENATE(Table_ErrorList[[#This Row],[Details Explanation (Line '#1)]],IF(Table_ErrorList[[#This Row],[Details Explanation (Line '#2)]]&lt;&gt;"",CHAR(10)&amp;Table_ErrorList[[#This Row],[Details Explanation (Line '#2)]],""))</f>
        <v>Enter a 10 digit phone number. This is a 3 digit area code and a 7 digit phone number. 
Enter the number only without any spaces or special characters (ie. 1234567890). The field will format automatically to '(123) 456-7890'.</v>
      </c>
      <c r="S19" s="81" t="b">
        <v>1</v>
      </c>
      <c r="T19" s="81" t="str">
        <f>IF(LEN(Table_ErrorList[[#This Row],[Message Bar Display]])&gt;$U$5,"Too Long, Characters = "&amp;LEN(Table_ErrorList[[#This Row],[Message Bar Display]])," ")</f>
        <v xml:space="preserve"> </v>
      </c>
      <c r="U19" s="81" t="str">
        <f>IF(LEN(Table_ErrorList[[#This Row],[Details Explanation (Line '#1)]])&gt;$U$5,"Too Long, Characters = "&amp;LEN(Table_ErrorList[[#This Row],[Details Explanation (Line '#1)]])," ")</f>
        <v xml:space="preserve"> </v>
      </c>
      <c r="V19" s="81" t="str">
        <f>IF(LEN(Table_ErrorList[[#This Row],[Details Explanation (Line '#2)]])&gt;$U$5,"Too Long, Characters = "&amp;LEN(Table_ErrorList[[#This Row],[Details Explanation (Line '#2)]])," ")</f>
        <v xml:space="preserve"> </v>
      </c>
    </row>
    <row r="20" spans="1:22" x14ac:dyDescent="0.25">
      <c r="A20" s="81" t="b">
        <f ca="1">OR(ISBLANK(Table_ErrorList[[#This Row],[Relevant Cell Value]]),Table_ErrorList[[#This Row],[Relevant Cell Value]]=Dropdown_NotSelectedValue,Table_ErrorList[[#This Row],[Relevant Cell Value]]=0)</f>
        <v>0</v>
      </c>
      <c r="B20" s="101" t="str">
        <f ca="1">IFERROR(INDIRECT(Table_ErrorList[[#This Row],[Attention To Named Range]]),"Error")</f>
        <v>Postgraduate Education (PGE)</v>
      </c>
      <c r="C20" s="96">
        <v>80</v>
      </c>
      <c r="D20" s="96" t="str">
        <f ca="1">IF(Table_ErrorList[[#This Row],[Manual Hierarchy]]="",CONCATENATE(TEXT(Table_ErrorList[[#This Row],[Section '#]],"00"),"-",TEXT(COUNTIF($E20:OFFSET(Table_ErrorList[[#Headers],[Section '#]],1,0,1,1),Table_ErrorList[[#This Row],[Section '#]]),"000")),Table_ErrorList[[#This Row],[Manual Hierarchy]])</f>
        <v>01-013</v>
      </c>
      <c r="E20" s="98">
        <v>1</v>
      </c>
      <c r="F20" s="98" t="str">
        <f>IFERROR(VLOOKUP(Table_ErrorList[[#This Row],[Section '#]],Table_SectionNames[],MATCH(Table_SectionNames[[#Headers],[Name]],Table_SectionNames[#Headers],0),FALSE),"Not found")</f>
        <v>Payee Details</v>
      </c>
      <c r="G20" s="98"/>
      <c r="H20" s="81" t="str">
        <f>IFERROR(VLOOKUP(Table_ErrorList[[#This Row],[Attention To Named Range]],Table_NamedRanges[],MATCH(Table_NamedRanges[[#Headers],[Reference Type]],Table_NamedRanges[#Headers],0),FALSE),"Error")</f>
        <v>Single Cell</v>
      </c>
      <c r="I20" s="81" t="s">
        <v>259</v>
      </c>
      <c r="J20" s="101" t="str">
        <f>IF(Table_ErrorList[[#This Row],[Manual Reference]]="",Table_ErrorList[[#This Row],[''Attention To'' Refence]],Table_ErrorList[[#This Row],[Manual Reference]])&amp;","</f>
        <v>$C$21,</v>
      </c>
      <c r="K20" s="101" t="str">
        <f>SUBSTITUTE(SUBSTITUTE(VLOOKUP(Table_ErrorList[[#This Row],[Attention To Named Range]],Table_NamedRanges[],MATCH(Table_NamedRanges[[#Headers],[Reference Text]],Table_NamedRanges[#Headers],0),FALSE),"=",""),"'Travel Expense Summary'!","")</f>
        <v>$C$21</v>
      </c>
      <c r="L20" s="101"/>
      <c r="M20" s="81" t="s">
        <v>260</v>
      </c>
      <c r="N20" s="81" t="s">
        <v>261</v>
      </c>
      <c r="O20" s="81" t="b">
        <v>1</v>
      </c>
      <c r="P20" s="100" t="s">
        <v>262</v>
      </c>
      <c r="Q20" s="100"/>
      <c r="R20" s="100" t="str">
        <f>CONCATENATE(Table_ErrorList[[#This Row],[Details Explanation (Line '#1)]],IF(Table_ErrorList[[#This Row],[Details Explanation (Line '#2)]]&lt;&gt;"",CHAR(10)&amp;Table_ErrorList[[#This Row],[Details Explanation (Line '#2)]],""))</f>
        <v>Select a 'Submitting Portfolio' from the in-cell dropdown list.</v>
      </c>
      <c r="S20" s="81" t="b">
        <v>1</v>
      </c>
      <c r="T20" s="81" t="str">
        <f>IF(LEN(Table_ErrorList[[#This Row],[Message Bar Display]])&gt;$U$5,"Too Long, Characters = "&amp;LEN(Table_ErrorList[[#This Row],[Message Bar Display]])," ")</f>
        <v xml:space="preserve"> </v>
      </c>
      <c r="U20" s="81" t="str">
        <f>IF(LEN(Table_ErrorList[[#This Row],[Details Explanation (Line '#1)]])&gt;$U$5,"Too Long, Characters = "&amp;LEN(Table_ErrorList[[#This Row],[Details Explanation (Line '#1)]])," ")</f>
        <v xml:space="preserve"> </v>
      </c>
      <c r="V20" s="81" t="str">
        <f>IF(LEN(Table_ErrorList[[#This Row],[Details Explanation (Line '#2)]])&gt;$U$5,"Too Long, Characters = "&amp;LEN(Table_ErrorList[[#This Row],[Details Explanation (Line '#2)]])," ")</f>
        <v xml:space="preserve"> </v>
      </c>
    </row>
    <row r="21" spans="1:22" x14ac:dyDescent="0.25">
      <c r="A21" s="81" t="b">
        <f ca="1">OR(ISBLANK(Table_ErrorList[[#This Row],[Relevant Cell Value]]),Table_ErrorList[[#This Row],[Relevant Cell Value]]=Dropdown_NotSelectedValue,Table_ErrorList[[#This Row],[Relevant Cell Value]]=0)</f>
        <v>0</v>
      </c>
      <c r="B21" s="101" t="str">
        <f ca="1">IFERROR(INDIRECT(Table_ErrorList[[#This Row],[Attention To Named Range]]),"Error")</f>
        <v>HS &amp; IPE Learner</v>
      </c>
      <c r="C21" s="96">
        <v>90</v>
      </c>
      <c r="D21" s="96" t="str">
        <f ca="1">IF(Table_ErrorList[[#This Row],[Manual Hierarchy]]="",CONCATENATE(TEXT(Table_ErrorList[[#This Row],[Section '#]],"00"),"-",TEXT(COUNTIF($E21:OFFSET(Table_ErrorList[[#Headers],[Section '#]],1,0,1,1),Table_ErrorList[[#This Row],[Section '#]]),"000")),Table_ErrorList[[#This Row],[Manual Hierarchy]])</f>
        <v>01-014</v>
      </c>
      <c r="E21" s="98">
        <v>1</v>
      </c>
      <c r="F21" s="98" t="str">
        <f>IFERROR(VLOOKUP(Table_ErrorList[[#This Row],[Section '#]],Table_SectionNames[],MATCH(Table_SectionNames[[#Headers],[Name]],Table_SectionNames[#Headers],0),FALSE),"Not found")</f>
        <v>Payee Details</v>
      </c>
      <c r="G21" s="98"/>
      <c r="H21" s="81" t="str">
        <f>IFERROR(VLOOKUP(Table_ErrorList[[#This Row],[Attention To Named Range]],Table_NamedRanges[],MATCH(Table_NamedRanges[[#Headers],[Reference Type]],Table_NamedRanges[#Headers],0),FALSE),"Error")</f>
        <v>Single Cell</v>
      </c>
      <c r="I21" s="81" t="s">
        <v>263</v>
      </c>
      <c r="J21" s="101" t="str">
        <f>IF(Table_ErrorList[[#This Row],[Manual Reference]]="",Table_ErrorList[[#This Row],[''Attention To'' Refence]],Table_ErrorList[[#This Row],[Manual Reference]])&amp;","</f>
        <v>$C$22,</v>
      </c>
      <c r="K21" s="101" t="str">
        <f>SUBSTITUTE(SUBSTITUTE(VLOOKUP(Table_ErrorList[[#This Row],[Attention To Named Range]],Table_NamedRanges[],MATCH(Table_NamedRanges[[#Headers],[Reference Text]],Table_NamedRanges[#Headers],0),FALSE),"=",""),"'Travel Expense Summary'!","")</f>
        <v>$C$22</v>
      </c>
      <c r="L21" s="101"/>
      <c r="M21" s="81" t="s">
        <v>264</v>
      </c>
      <c r="N21" s="81" t="s">
        <v>265</v>
      </c>
      <c r="O21" s="81" t="b">
        <v>1</v>
      </c>
      <c r="P21" s="100" t="s">
        <v>266</v>
      </c>
      <c r="Q21" s="100"/>
      <c r="R21" s="100" t="str">
        <f>CONCATENATE(Table_ErrorList[[#This Row],[Details Explanation (Line '#1)]],IF(Table_ErrorList[[#This Row],[Details Explanation (Line '#2)]]&lt;&gt;"",CHAR(10)&amp;Table_ErrorList[[#This Row],[Details Explanation (Line '#2)]],""))</f>
        <v>Select a 'Payee Type' from the in-cell dropdown list.</v>
      </c>
      <c r="S21" s="81" t="b">
        <v>1</v>
      </c>
      <c r="T21" s="81" t="str">
        <f>IF(LEN(Table_ErrorList[[#This Row],[Message Bar Display]])&gt;$U$5,"Too Long, Characters = "&amp;LEN(Table_ErrorList[[#This Row],[Message Bar Display]])," ")</f>
        <v xml:space="preserve"> </v>
      </c>
      <c r="U21" s="81" t="str">
        <f>IF(LEN(Table_ErrorList[[#This Row],[Details Explanation (Line '#1)]])&gt;$U$5,"Too Long, Characters = "&amp;LEN(Table_ErrorList[[#This Row],[Details Explanation (Line '#1)]])," ")</f>
        <v xml:space="preserve"> </v>
      </c>
      <c r="V21" s="81" t="str">
        <f>IF(LEN(Table_ErrorList[[#This Row],[Details Explanation (Line '#2)]])&gt;$U$5,"Too Long, Characters = "&amp;LEN(Table_ErrorList[[#This Row],[Details Explanation (Line '#2)]])," ")</f>
        <v xml:space="preserve"> </v>
      </c>
    </row>
    <row r="22" spans="1:22" s="30" customFormat="1" ht="22.5" x14ac:dyDescent="0.25">
      <c r="A22" s="81" t="b">
        <f>IF(AND(ISBLANK(Field09_PayeeType)=FALSE,Field09_PayeeType&lt;&gt;Dropdown_NotSelectedValue),IFERROR(NOT(MATCH(Field09_PayeeType,Table_PayeeType[Payee Type],0)&gt;0),TRUE),FALSE)</f>
        <v>0</v>
      </c>
      <c r="B22" s="101" t="str">
        <f ca="1">IFERROR(INDIRECT(Table_ErrorList[[#This Row],[Attention To Named Range]]),"Error")</f>
        <v>HS &amp; IPE Learner</v>
      </c>
      <c r="C22" s="96">
        <v>91</v>
      </c>
      <c r="D22" s="96" t="str">
        <f ca="1">IF(Table_ErrorList[[#This Row],[Manual Hierarchy]]="",CONCATENATE(TEXT(Table_ErrorList[[#This Row],[Section '#]],"00"),"-",TEXT(COUNTIF($E22:OFFSET(Table_ErrorList[[#Headers],[Section '#]],1,0,1,1),Table_ErrorList[[#This Row],[Section '#]]),"000")),Table_ErrorList[[#This Row],[Manual Hierarchy]])</f>
        <v>01-015</v>
      </c>
      <c r="E22" s="98">
        <v>1</v>
      </c>
      <c r="F22" s="98" t="str">
        <f>IFERROR(VLOOKUP(Table_ErrorList[[#This Row],[Section '#]],Table_SectionNames[],MATCH(Table_SectionNames[[#Headers],[Name]],Table_SectionNames[#Headers],0),FALSE),"Not found")</f>
        <v>Payee Details</v>
      </c>
      <c r="G22" s="98"/>
      <c r="H22" s="101" t="str">
        <f>IFERROR(VLOOKUP(Table_ErrorList[[#This Row],[Attention To Named Range]],Table_NamedRanges[],MATCH(Table_NamedRanges[[#Headers],[Reference Type]],Table_NamedRanges[#Headers],0),FALSE),"Error")</f>
        <v>Single Cell</v>
      </c>
      <c r="I22" s="96" t="s">
        <v>263</v>
      </c>
      <c r="J22" s="101" t="str">
        <f>IF(Table_ErrorList[[#This Row],[Manual Reference]]="",Table_ErrorList[[#This Row],[''Attention To'' Refence]],Table_ErrorList[[#This Row],[Manual Reference]])&amp;","</f>
        <v>$C$22,</v>
      </c>
      <c r="K22" s="101" t="str">
        <f>SUBSTITUTE(SUBSTITUTE(VLOOKUP(Table_ErrorList[[#This Row],[Attention To Named Range]],Table_NamedRanges[],MATCH(Table_NamedRanges[[#Headers],[Reference Text]],Table_NamedRanges[#Headers],0),FALSE),"=",""),"'Travel Expense Summary'!","")</f>
        <v>$C$22</v>
      </c>
      <c r="L22" s="101"/>
      <c r="M22" s="81" t="s">
        <v>267</v>
      </c>
      <c r="N22" s="81" t="s">
        <v>268</v>
      </c>
      <c r="O22" s="81" t="b">
        <v>1</v>
      </c>
      <c r="P22" s="100" t="s">
        <v>266</v>
      </c>
      <c r="Q22" s="100" t="s">
        <v>269</v>
      </c>
      <c r="R22" s="102" t="str">
        <f>CONCATENATE(Table_ErrorList[[#This Row],[Details Explanation (Line '#1)]],IF(Table_ErrorList[[#This Row],[Details Explanation (Line '#2)]]&lt;&gt;"",CHAR(10)&amp;Table_ErrorList[[#This Row],[Details Explanation (Line '#2)]],""))</f>
        <v xml:space="preserve">Select a 'Payee Type' from the in-cell dropdown list.
The current value is not an item from this list. </v>
      </c>
      <c r="S22" s="81" t="b">
        <v>1</v>
      </c>
      <c r="T22" s="101" t="str">
        <f>IF(LEN(Table_ErrorList[[#This Row],[Message Bar Display]])&gt;$U$5,"Too Long, Characters = "&amp;LEN(Table_ErrorList[[#This Row],[Message Bar Display]])," ")</f>
        <v xml:space="preserve"> </v>
      </c>
      <c r="U22" s="101" t="str">
        <f>IF(LEN(Table_ErrorList[[#This Row],[Details Explanation (Line '#1)]])&gt;$U$5,"Too Long, Characters = "&amp;LEN(Table_ErrorList[[#This Row],[Details Explanation (Line '#1)]])," ")</f>
        <v xml:space="preserve"> </v>
      </c>
      <c r="V22" s="101" t="str">
        <f>IF(LEN(Table_ErrorList[[#This Row],[Details Explanation (Line '#2)]])&gt;$U$5,"Too Long, Characters = "&amp;LEN(Table_ErrorList[[#This Row],[Details Explanation (Line '#2)]])," ")</f>
        <v xml:space="preserve"> </v>
      </c>
    </row>
    <row r="23" spans="1:22" ht="30" x14ac:dyDescent="0.25">
      <c r="A23" s="81" t="b">
        <f ca="1">OR(ISBLANK(Table_ErrorList[[#This Row],[Relevant Cell Value]]),Table_ErrorList[[#This Row],[Relevant Cell Value]]=Dropdown_NotSelectedValue,Table_ErrorList[[#This Row],[Relevant Cell Value]]=0)</f>
        <v>0</v>
      </c>
      <c r="B23" s="101" t="str">
        <f ca="1">IFERROR(INDIRECT(Table_ErrorList[[#This Row],[Attention To Named Range]]),"Error")</f>
        <v>Direct Deposit 
(previously submitted)</v>
      </c>
      <c r="C23" s="96">
        <v>100</v>
      </c>
      <c r="D23" s="96" t="str">
        <f ca="1">IF(Table_ErrorList[[#This Row],[Manual Hierarchy]]="",CONCATENATE(TEXT(Table_ErrorList[[#This Row],[Section '#]],"00"),"-",TEXT(COUNTIF($E23:OFFSET(Table_ErrorList[[#Headers],[Section '#]],1,0,1,1),Table_ErrorList[[#This Row],[Section '#]]),"000")),Table_ErrorList[[#This Row],[Manual Hierarchy]])</f>
        <v>01-016</v>
      </c>
      <c r="E23" s="98">
        <v>1</v>
      </c>
      <c r="F23" s="98" t="str">
        <f>IFERROR(VLOOKUP(Table_ErrorList[[#This Row],[Section '#]],Table_SectionNames[],MATCH(Table_SectionNames[[#Headers],[Name]],Table_SectionNames[#Headers],0),FALSE),"Not found")</f>
        <v>Payee Details</v>
      </c>
      <c r="G23" s="98"/>
      <c r="H23" s="81" t="str">
        <f>IFERROR(VLOOKUP(Table_ErrorList[[#This Row],[Attention To Named Range]],Table_NamedRanges[],MATCH(Table_NamedRanges[[#Headers],[Reference Type]],Table_NamedRanges[#Headers],0),FALSE),"Error")</f>
        <v>Single Cell</v>
      </c>
      <c r="I23" s="81" t="s">
        <v>270</v>
      </c>
      <c r="J23" s="101" t="str">
        <f>IF(Table_ErrorList[[#This Row],[Manual Reference]]="",Table_ErrorList[[#This Row],[''Attention To'' Refence]],Table_ErrorList[[#This Row],[Manual Reference]])&amp;","</f>
        <v>$C$23,</v>
      </c>
      <c r="K23" s="101" t="str">
        <f>SUBSTITUTE(SUBSTITUTE(VLOOKUP(Table_ErrorList[[#This Row],[Attention To Named Range]],Table_NamedRanges[],MATCH(Table_NamedRanges[[#Headers],[Reference Text]],Table_NamedRanges[#Headers],0),FALSE),"=",""),"'Travel Expense Summary'!","")</f>
        <v>$C$23</v>
      </c>
      <c r="L23" s="101"/>
      <c r="M23" s="81" t="s">
        <v>271</v>
      </c>
      <c r="N23" s="81" t="s">
        <v>272</v>
      </c>
      <c r="O23" s="81" t="b">
        <v>1</v>
      </c>
      <c r="P23" s="100" t="s">
        <v>273</v>
      </c>
      <c r="Q23" s="100"/>
      <c r="R23" s="100" t="str">
        <f>CONCATENATE(Table_ErrorList[[#This Row],[Details Explanation (Line '#1)]],IF(Table_ErrorList[[#This Row],[Details Explanation (Line '#2)]]&lt;&gt;"",CHAR(10)&amp;Table_ErrorList[[#This Row],[Details Explanation (Line '#2)]],""))</f>
        <v>Select a 'Payment Option' from the in-cell dropdown list.</v>
      </c>
      <c r="S23" s="81" t="b">
        <v>1</v>
      </c>
      <c r="T23" s="81" t="str">
        <f>IF(LEN(Table_ErrorList[[#This Row],[Message Bar Display]])&gt;$U$5,"Too Long, Characters = "&amp;LEN(Table_ErrorList[[#This Row],[Message Bar Display]])," ")</f>
        <v xml:space="preserve"> </v>
      </c>
      <c r="U23" s="81" t="str">
        <f>IF(LEN(Table_ErrorList[[#This Row],[Details Explanation (Line '#1)]])&gt;$U$5,"Too Long, Characters = "&amp;LEN(Table_ErrorList[[#This Row],[Details Explanation (Line '#1)]])," ")</f>
        <v xml:space="preserve"> </v>
      </c>
      <c r="V23" s="81" t="str">
        <f>IF(LEN(Table_ErrorList[[#This Row],[Details Explanation (Line '#2)]])&gt;$U$5,"Too Long, Characters = "&amp;LEN(Table_ErrorList[[#This Row],[Details Explanation (Line '#2)]])," ")</f>
        <v xml:space="preserve"> </v>
      </c>
    </row>
    <row r="24" spans="1:22" ht="22.5" x14ac:dyDescent="0.25">
      <c r="A24" s="81" t="b">
        <f ca="1">OR(ISBLANK(Table_ErrorList[[#This Row],[Relevant Cell Value]]),Table_ErrorList[[#This Row],[Relevant Cell Value]]=Dropdown_NotSelectedValue,Table_ErrorList[[#This Row],[Relevant Cell Value]]=0)</f>
        <v>0</v>
      </c>
      <c r="B24" s="101" t="str">
        <f ca="1">IFERROR(INDIRECT(Table_ErrorList[[#This Row],[Attention To Named Range]]),"Error")</f>
        <v>Toronto</v>
      </c>
      <c r="C24" s="96">
        <v>110</v>
      </c>
      <c r="D24" s="96" t="str">
        <f ca="1">IF(Table_ErrorList[[#This Row],[Manual Hierarchy]]="",CONCATENATE(TEXT(Table_ErrorList[[#This Row],[Section '#]],"00"),"-",TEXT(COUNTIF($E24:OFFSET(Table_ErrorList[[#Headers],[Section '#]],1,0,1,1),Table_ErrorList[[#This Row],[Section '#]]),"000")),Table_ErrorList[[#This Row],[Manual Hierarchy]])</f>
        <v>02-001</v>
      </c>
      <c r="E24" s="98">
        <v>2</v>
      </c>
      <c r="F24" s="98" t="str">
        <f>IFERROR(VLOOKUP(Table_ErrorList[[#This Row],[Section '#]],Table_SectionNames[],MATCH(Table_SectionNames[[#Headers],[Name]],Table_SectionNames[#Headers],0),FALSE),"Not found")</f>
        <v>Travel Details</v>
      </c>
      <c r="G24" s="98"/>
      <c r="H24" s="81" t="str">
        <f>IFERROR(VLOOKUP(Table_ErrorList[[#This Row],[Attention To Named Range]],Table_NamedRanges[],MATCH(Table_NamedRanges[[#Headers],[Reference Type]],Table_NamedRanges[#Headers],0),FALSE),"Error")</f>
        <v>Single Cell</v>
      </c>
      <c r="I24" s="81" t="s">
        <v>274</v>
      </c>
      <c r="J24" s="101" t="str">
        <f>IF(Table_ErrorList[[#This Row],[Manual Reference]]="",Table_ErrorList[[#This Row],[''Attention To'' Refence]],Table_ErrorList[[#This Row],[Manual Reference]])&amp;","</f>
        <v>$C$27,</v>
      </c>
      <c r="K24" s="101" t="str">
        <f>SUBSTITUTE(SUBSTITUTE(VLOOKUP(Table_ErrorList[[#This Row],[Attention To Named Range]],Table_NamedRanges[],MATCH(Table_NamedRanges[[#Headers],[Reference Text]],Table_NamedRanges[#Headers],0),FALSE),"=",""),"'Travel Expense Summary'!","")</f>
        <v>$C$27</v>
      </c>
      <c r="L24" s="101"/>
      <c r="M24" s="81" t="s">
        <v>275</v>
      </c>
      <c r="N24" s="81" t="s">
        <v>276</v>
      </c>
      <c r="O24" s="81" t="b">
        <v>1</v>
      </c>
      <c r="P24" s="100" t="s">
        <v>277</v>
      </c>
      <c r="Q24" s="100" t="s">
        <v>217</v>
      </c>
      <c r="R24" s="100" t="str">
        <f>CONCATENATE(Table_ErrorList[[#This Row],[Details Explanation (Line '#1)]],IF(Table_ErrorList[[#This Row],[Details Explanation (Line '#2)]]&lt;&gt;"",CHAR(10)&amp;Table_ErrorList[[#This Row],[Details Explanation (Line '#2)]],""))</f>
        <v xml:space="preserve">This is the departure location for your travel.
This is a free text field with a 40 character limit. </v>
      </c>
      <c r="S24" s="81" t="b">
        <v>1</v>
      </c>
      <c r="T24" s="81" t="str">
        <f>IF(LEN(Table_ErrorList[[#This Row],[Message Bar Display]])&gt;$U$5,"Too Long, Characters = "&amp;LEN(Table_ErrorList[[#This Row],[Message Bar Display]])," ")</f>
        <v xml:space="preserve"> </v>
      </c>
      <c r="U24" s="81" t="str">
        <f>IF(LEN(Table_ErrorList[[#This Row],[Details Explanation (Line '#1)]])&gt;$U$5,"Too Long, Characters = "&amp;LEN(Table_ErrorList[[#This Row],[Details Explanation (Line '#1)]])," ")</f>
        <v xml:space="preserve"> </v>
      </c>
      <c r="V24" s="81" t="str">
        <f>IF(LEN(Table_ErrorList[[#This Row],[Details Explanation (Line '#2)]])&gt;$U$5,"Too Long, Characters = "&amp;LEN(Table_ErrorList[[#This Row],[Details Explanation (Line '#2)]])," ")</f>
        <v xml:space="preserve"> </v>
      </c>
    </row>
    <row r="25" spans="1:22" ht="22.5" x14ac:dyDescent="0.25">
      <c r="A25" s="81" t="b">
        <f ca="1">OR(ISBLANK(Table_ErrorList[[#This Row],[Relevant Cell Value]]),Table_ErrorList[[#This Row],[Relevant Cell Value]]=Dropdown_NotSelectedValue,Table_ErrorList[[#This Row],[Relevant Cell Value]]=0)</f>
        <v>0</v>
      </c>
      <c r="B25" s="101" t="str">
        <f ca="1">IFERROR(INDIRECT(Table_ErrorList[[#This Row],[Attention To Named Range]]),"Error")</f>
        <v>Thunder Bay</v>
      </c>
      <c r="C25" s="96">
        <v>120</v>
      </c>
      <c r="D25" s="96" t="str">
        <f ca="1">IF(Table_ErrorList[[#This Row],[Manual Hierarchy]]="",CONCATENATE(TEXT(Table_ErrorList[[#This Row],[Section '#]],"00"),"-",TEXT(COUNTIF($E25:OFFSET(Table_ErrorList[[#Headers],[Section '#]],1,0,1,1),Table_ErrorList[[#This Row],[Section '#]]),"000")),Table_ErrorList[[#This Row],[Manual Hierarchy]])</f>
        <v>02-002</v>
      </c>
      <c r="E25" s="98">
        <v>2</v>
      </c>
      <c r="F25" s="98" t="str">
        <f>IFERROR(VLOOKUP(Table_ErrorList[[#This Row],[Section '#]],Table_SectionNames[],MATCH(Table_SectionNames[[#Headers],[Name]],Table_SectionNames[#Headers],0),FALSE),"Not found")</f>
        <v>Travel Details</v>
      </c>
      <c r="G25" s="98"/>
      <c r="H25" s="81" t="str">
        <f>IFERROR(VLOOKUP(Table_ErrorList[[#This Row],[Attention To Named Range]],Table_NamedRanges[],MATCH(Table_NamedRanges[[#Headers],[Reference Type]],Table_NamedRanges[#Headers],0),FALSE),"Error")</f>
        <v>Single Cell</v>
      </c>
      <c r="I25" s="81" t="s">
        <v>278</v>
      </c>
      <c r="J25" s="101" t="str">
        <f>IF(Table_ErrorList[[#This Row],[Manual Reference]]="",Table_ErrorList[[#This Row],[''Attention To'' Refence]],Table_ErrorList[[#This Row],[Manual Reference]])&amp;","</f>
        <v>$C$28,</v>
      </c>
      <c r="K25" s="101" t="str">
        <f>SUBSTITUTE(SUBSTITUTE(VLOOKUP(Table_ErrorList[[#This Row],[Attention To Named Range]],Table_NamedRanges[],MATCH(Table_NamedRanges[[#Headers],[Reference Text]],Table_NamedRanges[#Headers],0),FALSE),"=",""),"'Travel Expense Summary'!","")</f>
        <v>$C$28</v>
      </c>
      <c r="L25" s="101"/>
      <c r="M25" s="81" t="s">
        <v>279</v>
      </c>
      <c r="N25" s="81" t="s">
        <v>280</v>
      </c>
      <c r="O25" s="81" t="b">
        <v>1</v>
      </c>
      <c r="P25" s="100" t="s">
        <v>281</v>
      </c>
      <c r="Q25" s="100" t="s">
        <v>217</v>
      </c>
      <c r="R25" s="100" t="str">
        <f>CONCATENATE(Table_ErrorList[[#This Row],[Details Explanation (Line '#1)]],IF(Table_ErrorList[[#This Row],[Details Explanation (Line '#2)]]&lt;&gt;"",CHAR(10)&amp;Table_ErrorList[[#This Row],[Details Explanation (Line '#2)]],""))</f>
        <v xml:space="preserve">This is the destination for your travel.
This is a free text field with a 40 character limit. </v>
      </c>
      <c r="S25" s="81" t="b">
        <v>1</v>
      </c>
      <c r="T25" s="81" t="str">
        <f>IF(LEN(Table_ErrorList[[#This Row],[Message Bar Display]])&gt;$U$5,"Too Long, Characters = "&amp;LEN(Table_ErrorList[[#This Row],[Message Bar Display]])," ")</f>
        <v xml:space="preserve"> </v>
      </c>
      <c r="U25" s="81" t="str">
        <f>IF(LEN(Table_ErrorList[[#This Row],[Details Explanation (Line '#1)]])&gt;$U$5,"Too Long, Characters = "&amp;LEN(Table_ErrorList[[#This Row],[Details Explanation (Line '#1)]])," ")</f>
        <v xml:space="preserve"> </v>
      </c>
      <c r="V25" s="81" t="str">
        <f>IF(LEN(Table_ErrorList[[#This Row],[Details Explanation (Line '#2)]])&gt;$U$5,"Too Long, Characters = "&amp;LEN(Table_ErrorList[[#This Row],[Details Explanation (Line '#2)]])," ")</f>
        <v xml:space="preserve"> </v>
      </c>
    </row>
    <row r="26" spans="1:22" ht="22.5" x14ac:dyDescent="0.25">
      <c r="A26" s="81" t="b">
        <f ca="1">OR(ISBLANK(Table_ErrorList[[#This Row],[Relevant Cell Value]]),Table_ErrorList[[#This Row],[Relevant Cell Value]]=Dropdown_NotSelectedValue,Table_ErrorList[[#This Row],[Relevant Cell Value]]=0)</f>
        <v>0</v>
      </c>
      <c r="B26" s="101" t="str">
        <f ca="1">IFERROR(INDIRECT(Table_ErrorList[[#This Row],[Attention To Named Range]]),"Error")</f>
        <v>Domestic (Ontario only)</v>
      </c>
      <c r="C26" s="96">
        <v>130</v>
      </c>
      <c r="D26" s="96" t="str">
        <f ca="1">IF(Table_ErrorList[[#This Row],[Manual Hierarchy]]="",CONCATENATE(TEXT(Table_ErrorList[[#This Row],[Section '#]],"00"),"-",TEXT(COUNTIF($E26:OFFSET(Table_ErrorList[[#Headers],[Section '#]],1,0,1,1),Table_ErrorList[[#This Row],[Section '#]]),"000")),Table_ErrorList[[#This Row],[Manual Hierarchy]])</f>
        <v>02-003</v>
      </c>
      <c r="E26" s="98">
        <v>2</v>
      </c>
      <c r="F26" s="98" t="str">
        <f>IFERROR(VLOOKUP(Table_ErrorList[[#This Row],[Section '#]],Table_SectionNames[],MATCH(Table_SectionNames[[#Headers],[Name]],Table_SectionNames[#Headers],0),FALSE),"Not found")</f>
        <v>Travel Details</v>
      </c>
      <c r="G26" s="98"/>
      <c r="H26" s="81" t="str">
        <f>IFERROR(VLOOKUP(Table_ErrorList[[#This Row],[Attention To Named Range]],Table_NamedRanges[],MATCH(Table_NamedRanges[[#Headers],[Reference Type]],Table_NamedRanges[#Headers],0),FALSE),"Error")</f>
        <v>Single Cell</v>
      </c>
      <c r="I26" s="81" t="s">
        <v>282</v>
      </c>
      <c r="J26" s="101" t="str">
        <f>IF(Table_ErrorList[[#This Row],[Manual Reference]]="",Table_ErrorList[[#This Row],[''Attention To'' Refence]],Table_ErrorList[[#This Row],[Manual Reference]])&amp;","</f>
        <v>$C$29,</v>
      </c>
      <c r="K26" s="101" t="str">
        <f>SUBSTITUTE(SUBSTITUTE(VLOOKUP(Table_ErrorList[[#This Row],[Attention To Named Range]],Table_NamedRanges[],MATCH(Table_NamedRanges[[#Headers],[Reference Text]],Table_NamedRanges[#Headers],0),FALSE),"=",""),"'Travel Expense Summary'!","")</f>
        <v>$C$29</v>
      </c>
      <c r="L26" s="101"/>
      <c r="M26" s="81" t="s">
        <v>283</v>
      </c>
      <c r="N26" s="81" t="s">
        <v>284</v>
      </c>
      <c r="O26" s="81" t="b">
        <v>1</v>
      </c>
      <c r="P26" s="100" t="s">
        <v>285</v>
      </c>
      <c r="Q26" s="100" t="s">
        <v>286</v>
      </c>
      <c r="R26" s="100" t="str">
        <f>CONCATENATE(Table_ErrorList[[#This Row],[Details Explanation (Line '#1)]],IF(Table_ErrorList[[#This Row],[Details Explanation (Line '#2)]]&lt;&gt;"",CHAR(10)&amp;Table_ErrorList[[#This Row],[Details Explanation (Line '#2)]],""))</f>
        <v>Select 'Range' from the in-cell dropdown list.
This field is required to determine HST rebate rates and eligibility.</v>
      </c>
      <c r="S26" s="81" t="b">
        <v>1</v>
      </c>
      <c r="T26" s="81" t="str">
        <f>IF(LEN(Table_ErrorList[[#This Row],[Message Bar Display]])&gt;$U$5,"Too Long, Characters = "&amp;LEN(Table_ErrorList[[#This Row],[Message Bar Display]])," ")</f>
        <v xml:space="preserve"> </v>
      </c>
      <c r="U26" s="81" t="str">
        <f>IF(LEN(Table_ErrorList[[#This Row],[Details Explanation (Line '#1)]])&gt;$U$5,"Too Long, Characters = "&amp;LEN(Table_ErrorList[[#This Row],[Details Explanation (Line '#1)]])," ")</f>
        <v xml:space="preserve"> </v>
      </c>
      <c r="V26" s="81" t="str">
        <f>IF(LEN(Table_ErrorList[[#This Row],[Details Explanation (Line '#2)]])&gt;$U$5,"Too Long, Characters = "&amp;LEN(Table_ErrorList[[#This Row],[Details Explanation (Line '#2)]])," ")</f>
        <v xml:space="preserve"> </v>
      </c>
    </row>
    <row r="27" spans="1:22" ht="22.5" x14ac:dyDescent="0.25">
      <c r="A27" s="81" t="b">
        <f ca="1">OR(ISBLANK(Table_ErrorList[[#This Row],[Relevant Cell Value]]),Table_ErrorList[[#This Row],[Relevant Cell Value]]=Dropdown_NotSelectedValue,Table_ErrorList[[#This Row],[Relevant Cell Value]]=0)</f>
        <v>0</v>
      </c>
      <c r="B27" s="101" t="str">
        <f ca="1">IFERROR(INDIRECT(Table_ErrorList[[#This Row],[Attention To Named Range]]),"Error")</f>
        <v>Round-trip</v>
      </c>
      <c r="C27" s="96">
        <v>140</v>
      </c>
      <c r="D27" s="96" t="str">
        <f ca="1">IF(Table_ErrorList[[#This Row],[Manual Hierarchy]]="",CONCATENATE(TEXT(Table_ErrorList[[#This Row],[Section '#]],"00"),"-",TEXT(COUNTIF($E27:OFFSET(Table_ErrorList[[#Headers],[Section '#]],1,0,1,1),Table_ErrorList[[#This Row],[Section '#]]),"000")),Table_ErrorList[[#This Row],[Manual Hierarchy]])</f>
        <v>02-004</v>
      </c>
      <c r="E27" s="98">
        <v>2</v>
      </c>
      <c r="F27" s="98" t="str">
        <f>IFERROR(VLOOKUP(Table_ErrorList[[#This Row],[Section '#]],Table_SectionNames[],MATCH(Table_SectionNames[[#Headers],[Name]],Table_SectionNames[#Headers],0),FALSE),"Not found")</f>
        <v>Travel Details</v>
      </c>
      <c r="G27" s="98"/>
      <c r="H27" s="81" t="str">
        <f>IFERROR(VLOOKUP(Table_ErrorList[[#This Row],[Attention To Named Range]],Table_NamedRanges[],MATCH(Table_NamedRanges[[#Headers],[Reference Type]],Table_NamedRanges[#Headers],0),FALSE),"Error")</f>
        <v>Single Cell</v>
      </c>
      <c r="I27" s="81" t="s">
        <v>287</v>
      </c>
      <c r="J27" s="101" t="str">
        <f>IF(Table_ErrorList[[#This Row],[Manual Reference]]="",Table_ErrorList[[#This Row],[''Attention To'' Refence]],Table_ErrorList[[#This Row],[Manual Reference]])&amp;","</f>
        <v>$C$30,</v>
      </c>
      <c r="K27" s="101" t="str">
        <f>SUBSTITUTE(SUBSTITUTE(VLOOKUP(Table_ErrorList[[#This Row],[Attention To Named Range]],Table_NamedRanges[],MATCH(Table_NamedRanges[[#Headers],[Reference Text]],Table_NamedRanges[#Headers],0),FALSE),"=",""),"'Travel Expense Summary'!","")</f>
        <v>$C$30</v>
      </c>
      <c r="L27" s="101"/>
      <c r="M27" s="81" t="s">
        <v>288</v>
      </c>
      <c r="N27" s="81" t="s">
        <v>289</v>
      </c>
      <c r="O27" s="81" t="b">
        <v>1</v>
      </c>
      <c r="P27" s="100" t="s">
        <v>290</v>
      </c>
      <c r="Q27" s="100" t="s">
        <v>291</v>
      </c>
      <c r="R27" s="100" t="str">
        <f>CONCATENATE(Table_ErrorList[[#This Row],[Details Explanation (Line '#1)]],IF(Table_ErrorList[[#This Row],[Details Explanation (Line '#2)]]&lt;&gt;"",CHAR(10)&amp;Table_ErrorList[[#This Row],[Details Explanation (Line '#2)]],""))</f>
        <v>Select 'Trip Type' from the in-cell dropdown list.
This field differentiates between 'One-way' or 'Round-trip' travel.</v>
      </c>
      <c r="S27" s="81" t="b">
        <v>1</v>
      </c>
      <c r="T27" s="81" t="str">
        <f>IF(LEN(Table_ErrorList[[#This Row],[Message Bar Display]])&gt;$U$5,"Too Long, Characters = "&amp;LEN(Table_ErrorList[[#This Row],[Message Bar Display]])," ")</f>
        <v xml:space="preserve"> </v>
      </c>
      <c r="U27" s="81" t="str">
        <f>IF(LEN(Table_ErrorList[[#This Row],[Details Explanation (Line '#1)]])&gt;$U$5,"Too Long, Characters = "&amp;LEN(Table_ErrorList[[#This Row],[Details Explanation (Line '#1)]])," ")</f>
        <v xml:space="preserve"> </v>
      </c>
      <c r="V27" s="81" t="str">
        <f>IF(LEN(Table_ErrorList[[#This Row],[Details Explanation (Line '#2)]])&gt;$U$5,"Too Long, Characters = "&amp;LEN(Table_ErrorList[[#This Row],[Details Explanation (Line '#2)]])," ")</f>
        <v xml:space="preserve"> </v>
      </c>
    </row>
    <row r="28" spans="1:22" ht="15" customHeight="1" x14ac:dyDescent="0.25">
      <c r="A28" s="81" t="b">
        <f ca="1">OR(ISBLANK(Table_ErrorList[[#This Row],[Relevant Cell Value]]),Table_ErrorList[[#This Row],[Relevant Cell Value]]=Dropdown_NotSelectedValue,Table_ErrorList[[#This Row],[Relevant Cell Value]]=0)</f>
        <v>0</v>
      </c>
      <c r="B28" s="101">
        <f ca="1">IFERROR(INDIRECT(Table_ErrorList[[#This Row],[Attention To Named Range]]),"Error")</f>
        <v>43556</v>
      </c>
      <c r="C28" s="96">
        <v>150</v>
      </c>
      <c r="D28" s="96" t="str">
        <f ca="1">IF(Table_ErrorList[[#This Row],[Manual Hierarchy]]="",CONCATENATE(TEXT(Table_ErrorList[[#This Row],[Section '#]],"00"),"-",TEXT(COUNTIF($E28:OFFSET(Table_ErrorList[[#Headers],[Section '#]],1,0,1,1),Table_ErrorList[[#This Row],[Section '#]]),"000")),Table_ErrorList[[#This Row],[Manual Hierarchy]])</f>
        <v>02-005</v>
      </c>
      <c r="E28" s="98">
        <v>2</v>
      </c>
      <c r="F28" s="98" t="str">
        <f>IFERROR(VLOOKUP(Table_ErrorList[[#This Row],[Section '#]],Table_SectionNames[],MATCH(Table_SectionNames[[#Headers],[Name]],Table_SectionNames[#Headers],0),FALSE),"Not found")</f>
        <v>Travel Details</v>
      </c>
      <c r="G28" s="98"/>
      <c r="H28" s="81" t="str">
        <f>IFERROR(VLOOKUP(Table_ErrorList[[#This Row],[Attention To Named Range]],Table_NamedRanges[],MATCH(Table_NamedRanges[[#Headers],[Reference Type]],Table_NamedRanges[#Headers],0),FALSE),"Error")</f>
        <v>Single Cell</v>
      </c>
      <c r="I28" s="81" t="s">
        <v>292</v>
      </c>
      <c r="J28" s="101" t="str">
        <f>IF(Table_ErrorList[[#This Row],[Manual Reference]]="",Table_ErrorList[[#This Row],[''Attention To'' Refence]],Table_ErrorList[[#This Row],[Manual Reference]])&amp;","</f>
        <v>$C$31,</v>
      </c>
      <c r="K28" s="101" t="str">
        <f>SUBSTITUTE(SUBSTITUTE(VLOOKUP(Table_ErrorList[[#This Row],[Attention To Named Range]],Table_NamedRanges[],MATCH(Table_NamedRanges[[#Headers],[Reference Text]],Table_NamedRanges[#Headers],0),FALSE),"=",""),"'Travel Expense Summary'!","")</f>
        <v>$C$31</v>
      </c>
      <c r="L28" s="101"/>
      <c r="M28" s="81" t="s">
        <v>293</v>
      </c>
      <c r="N28" s="81" t="s">
        <v>294</v>
      </c>
      <c r="O28" s="81" t="b">
        <v>1</v>
      </c>
      <c r="P28" s="100" t="s">
        <v>295</v>
      </c>
      <c r="Q28" s="100" t="s">
        <v>253</v>
      </c>
      <c r="R28" s="100" t="str">
        <f>CONCATENATE(Table_ErrorList[[#This Row],[Details Explanation (Line '#1)]],IF(Table_ErrorList[[#This Row],[Details Explanation (Line '#2)]]&lt;&gt;"",CHAR(10)&amp;Table_ErrorList[[#This Row],[Details Explanation (Line '#2)]],""))</f>
        <v>Enter a 'Travel Start Date' in any format recognizable by Excel.
For example, it could be entered in full (ie. January 1, 2000) or it can be entered as DD/MM/YY or YYYY/MM/DD.</v>
      </c>
      <c r="S28" s="81" t="b">
        <v>1</v>
      </c>
      <c r="T28" s="81" t="str">
        <f>IF(LEN(Table_ErrorList[[#This Row],[Message Bar Display]])&gt;$U$5,"Too Long, Characters = "&amp;LEN(Table_ErrorList[[#This Row],[Message Bar Display]])," ")</f>
        <v xml:space="preserve"> </v>
      </c>
      <c r="U28" s="81" t="str">
        <f>IF(LEN(Table_ErrorList[[#This Row],[Details Explanation (Line '#1)]])&gt;$U$5,"Too Long, Characters = "&amp;LEN(Table_ErrorList[[#This Row],[Details Explanation (Line '#1)]])," ")</f>
        <v xml:space="preserve"> </v>
      </c>
      <c r="V28" s="81" t="str">
        <f>IF(LEN(Table_ErrorList[[#This Row],[Details Explanation (Line '#2)]])&gt;$U$5,"Too Long, Characters = "&amp;LEN(Table_ErrorList[[#This Row],[Details Explanation (Line '#2)]])," ")</f>
        <v xml:space="preserve"> </v>
      </c>
    </row>
    <row r="29" spans="1:22" ht="33.75" x14ac:dyDescent="0.25">
      <c r="A29" s="81" t="b">
        <f ca="1">OR(ISBLANK(Table_ErrorList[[#This Row],[Relevant Cell Value]]),Table_ErrorList[[#This Row],[Relevant Cell Value]]=Dropdown_NotSelectedValue,Table_ErrorList[[#This Row],[Relevant Cell Value]]=0)</f>
        <v>0</v>
      </c>
      <c r="B29" s="101">
        <f ca="1">IFERROR(INDIRECT(Table_ErrorList[[#This Row],[Attention To Named Range]]),"Error")</f>
        <v>43609</v>
      </c>
      <c r="C29" s="96">
        <v>160</v>
      </c>
      <c r="D29" s="96" t="str">
        <f ca="1">IF(Table_ErrorList[[#This Row],[Manual Hierarchy]]="",CONCATENATE(TEXT(Table_ErrorList[[#This Row],[Section '#]],"00"),"-",TEXT(COUNTIF($E29:OFFSET(Table_ErrorList[[#Headers],[Section '#]],1,0,1,1),Table_ErrorList[[#This Row],[Section '#]]),"000")),Table_ErrorList[[#This Row],[Manual Hierarchy]])</f>
        <v>02-006</v>
      </c>
      <c r="E29" s="98">
        <v>2</v>
      </c>
      <c r="F29" s="98" t="str">
        <f>IFERROR(VLOOKUP(Table_ErrorList[[#This Row],[Section '#]],Table_SectionNames[],MATCH(Table_SectionNames[[#Headers],[Name]],Table_SectionNames[#Headers],0),FALSE),"Not found")</f>
        <v>Travel Details</v>
      </c>
      <c r="G29" s="98"/>
      <c r="H29" s="81" t="str">
        <f>IFERROR(VLOOKUP(Table_ErrorList[[#This Row],[Attention To Named Range]],Table_NamedRanges[],MATCH(Table_NamedRanges[[#Headers],[Reference Type]],Table_NamedRanges[#Headers],0),FALSE),"Error")</f>
        <v>Single Cell</v>
      </c>
      <c r="I29" s="81" t="s">
        <v>296</v>
      </c>
      <c r="J29" s="101" t="str">
        <f>IF(Table_ErrorList[[#This Row],[Manual Reference]]="",Table_ErrorList[[#This Row],[''Attention To'' Refence]],Table_ErrorList[[#This Row],[Manual Reference]])&amp;","</f>
        <v>$C$32,</v>
      </c>
      <c r="K29" s="101" t="str">
        <f>SUBSTITUTE(SUBSTITUTE(VLOOKUP(Table_ErrorList[[#This Row],[Attention To Named Range]],Table_NamedRanges[],MATCH(Table_NamedRanges[[#Headers],[Reference Text]],Table_NamedRanges[#Headers],0),FALSE),"=",""),"'Travel Expense Summary'!","")</f>
        <v>$C$32</v>
      </c>
      <c r="L29" s="101"/>
      <c r="M29" s="81" t="s">
        <v>297</v>
      </c>
      <c r="N29" s="81" t="s">
        <v>298</v>
      </c>
      <c r="O29" s="81" t="b">
        <v>1</v>
      </c>
      <c r="P29" s="100" t="s">
        <v>299</v>
      </c>
      <c r="Q29" s="100" t="s">
        <v>300</v>
      </c>
      <c r="R29" s="100" t="str">
        <f>CONCATENATE(Table_ErrorList[[#This Row],[Details Explanation (Line '#1)]],IF(Table_ErrorList[[#This Row],[Details Explanation (Line '#2)]]&lt;&gt;"",CHAR(10)&amp;Table_ErrorList[[#This Row],[Details Explanation (Line '#2)]],""))</f>
        <v xml:space="preserve">Select a 'Travel End Date' from the in-cell dropdown list.
Travel End Date must be within 60 days of 'Travel Start Date'. Ensure you are submitting separate travel claims for each travel occurrence. </v>
      </c>
      <c r="S29" s="81" t="b">
        <v>1</v>
      </c>
      <c r="T29" s="81" t="str">
        <f>IF(LEN(Table_ErrorList[[#This Row],[Message Bar Display]])&gt;$U$5,"Too Long, Characters = "&amp;LEN(Table_ErrorList[[#This Row],[Message Bar Display]])," ")</f>
        <v xml:space="preserve"> </v>
      </c>
      <c r="U29" s="81" t="str">
        <f>IF(LEN(Table_ErrorList[[#This Row],[Details Explanation (Line '#1)]])&gt;$U$5,"Too Long, Characters = "&amp;LEN(Table_ErrorList[[#This Row],[Details Explanation (Line '#1)]])," ")</f>
        <v xml:space="preserve"> </v>
      </c>
      <c r="V29" s="81" t="str">
        <f>IF(LEN(Table_ErrorList[[#This Row],[Details Explanation (Line '#2)]])&gt;$U$5,"Too Long, Characters = "&amp;LEN(Table_ErrorList[[#This Row],[Details Explanation (Line '#2)]])," ")</f>
        <v xml:space="preserve"> </v>
      </c>
    </row>
    <row r="30" spans="1:22" s="30" customFormat="1" ht="33.75" x14ac:dyDescent="0.25">
      <c r="A30" s="101" t="b">
        <f>IF(AND(Field15_TravelStartDate&gt;0,Field16_TravelEndDate&gt;0),Field15_TravelStartDate&gt;Field16_TravelEndDate,FALSE)</f>
        <v>0</v>
      </c>
      <c r="B30" s="101" t="str">
        <f ca="1">IFERROR(INDIRECT(Table_ErrorList[[#This Row],[Attention To Named Range]]),"Error")</f>
        <v>Error</v>
      </c>
      <c r="C30" s="96">
        <v>161</v>
      </c>
      <c r="D30" s="96" t="str">
        <f ca="1">IF(Table_ErrorList[[#This Row],[Manual Hierarchy]]="",CONCATENATE(TEXT(Table_ErrorList[[#This Row],[Section '#]],"00"),"-",TEXT(COUNTIF($E30:OFFSET(Table_ErrorList[[#Headers],[Section '#]],1,0,1,1),Table_ErrorList[[#This Row],[Section '#]]),"000")),Table_ErrorList[[#This Row],[Manual Hierarchy]])</f>
        <v>02-007</v>
      </c>
      <c r="E30" s="98">
        <v>2</v>
      </c>
      <c r="F30" s="98" t="str">
        <f>IFERROR(VLOOKUP(Table_ErrorList[[#This Row],[Section '#]],Table_SectionNames[],MATCH(Table_SectionNames[[#Headers],[Name]],Table_SectionNames[#Headers],0),FALSE),"Not found")</f>
        <v>Travel Details</v>
      </c>
      <c r="G30" s="98"/>
      <c r="H30" s="101" t="str">
        <f>IFERROR(VLOOKUP(Table_ErrorList[[#This Row],[Attention To Named Range]],Table_NamedRanges[],MATCH(Table_NamedRanges[[#Headers],[Reference Type]],Table_NamedRanges[#Headers],0),FALSE),"Error")</f>
        <v>Error</v>
      </c>
      <c r="I30" s="96"/>
      <c r="J30" s="101" t="str">
        <f>IF(Table_ErrorList[[#This Row],[Manual Reference]]="",Table_ErrorList[[#This Row],[''Attention To'' Refence]],Table_ErrorList[[#This Row],[Manual Reference]])&amp;","</f>
        <v>$C$31,$C$32,</v>
      </c>
      <c r="K30" s="101" t="e">
        <f>SUBSTITUTE(SUBSTITUTE(VLOOKUP(Table_ErrorList[[#This Row],[Attention To Named Range]],Table_NamedRanges[],MATCH(Table_NamedRanges[[#Headers],[Reference Text]],Table_NamedRanges[#Headers],0),FALSE),"=",""),"'Travel Expense Summary'!","")</f>
        <v>#N/A</v>
      </c>
      <c r="L30" s="101" t="s">
        <v>301</v>
      </c>
      <c r="M30" s="81" t="s">
        <v>302</v>
      </c>
      <c r="N30" s="81" t="s">
        <v>303</v>
      </c>
      <c r="O30" s="81" t="b">
        <v>1</v>
      </c>
      <c r="P30" s="100" t="s">
        <v>304</v>
      </c>
      <c r="Q30" s="100" t="s">
        <v>305</v>
      </c>
      <c r="R30" s="102" t="str">
        <f>CONCATENATE(Table_ErrorList[[#This Row],[Details Explanation (Line '#1)]],IF(Table_ErrorList[[#This Row],[Details Explanation (Line '#2)]]&lt;&gt;"",CHAR(10)&amp;Table_ErrorList[[#This Row],[Details Explanation (Line '#2)]],""))</f>
        <v>The 'Travel Start Date' is after the 'Travel End Date'.
Correct the dates to ensure that the 'Travel End Date' is after the 'Travel Start Date'.</v>
      </c>
      <c r="S30" s="81" t="b">
        <v>1</v>
      </c>
      <c r="T30" s="101" t="str">
        <f>IF(LEN(Table_ErrorList[[#This Row],[Message Bar Display]])&gt;$U$5,"Too Long, Characters = "&amp;LEN(Table_ErrorList[[#This Row],[Message Bar Display]])," ")</f>
        <v xml:space="preserve"> </v>
      </c>
      <c r="U30" s="101" t="str">
        <f>IF(LEN(Table_ErrorList[[#This Row],[Details Explanation (Line '#1)]])&gt;$U$5,"Too Long, Characters = "&amp;LEN(Table_ErrorList[[#This Row],[Details Explanation (Line '#1)]])," ")</f>
        <v xml:space="preserve"> </v>
      </c>
      <c r="V30" s="101" t="str">
        <f>IF(LEN(Table_ErrorList[[#This Row],[Details Explanation (Line '#2)]])&gt;$U$5,"Too Long, Characters = "&amp;LEN(Table_ErrorList[[#This Row],[Details Explanation (Line '#2)]])," ")</f>
        <v xml:space="preserve"> </v>
      </c>
    </row>
    <row r="31" spans="1:22" s="30" customFormat="1" ht="45" x14ac:dyDescent="0.25">
      <c r="A31" s="101" t="b">
        <f>IF(AND(Field15_TravelStartDate&gt;0,Field16_TravelEndDate&gt;0),(DATEDIF(Field15_TravelStartDate,Field16_TravelEndDate,"D")+1)&gt;60,FALSE)</f>
        <v>0</v>
      </c>
      <c r="B31" s="101" t="str">
        <f ca="1">IFERROR(INDIRECT(Table_ErrorList[[#This Row],[Attention To Named Range]]),"Error")</f>
        <v>Error</v>
      </c>
      <c r="C31" s="96">
        <v>162</v>
      </c>
      <c r="D31" s="96" t="str">
        <f ca="1">IF(Table_ErrorList[[#This Row],[Manual Hierarchy]]="",CONCATENATE(TEXT(Table_ErrorList[[#This Row],[Section '#]],"00"),"-",TEXT(COUNTIF($E31:OFFSET(Table_ErrorList[[#Headers],[Section '#]],1,0,1,1),Table_ErrorList[[#This Row],[Section '#]]),"000")),Table_ErrorList[[#This Row],[Manual Hierarchy]])</f>
        <v>02-008</v>
      </c>
      <c r="E31" s="98">
        <v>2</v>
      </c>
      <c r="F31" s="98" t="str">
        <f>IFERROR(VLOOKUP(Table_ErrorList[[#This Row],[Section '#]],Table_SectionNames[],MATCH(Table_SectionNames[[#Headers],[Name]],Table_SectionNames[#Headers],0),FALSE),"Not found")</f>
        <v>Travel Details</v>
      </c>
      <c r="G31" s="98"/>
      <c r="H31" s="101" t="str">
        <f>IFERROR(VLOOKUP(Table_ErrorList[[#This Row],[Attention To Named Range]],Table_NamedRanges[],MATCH(Table_NamedRanges[[#Headers],[Reference Type]],Table_NamedRanges[#Headers],0),FALSE),"Error")</f>
        <v>Error</v>
      </c>
      <c r="I31" s="96"/>
      <c r="J31" s="101" t="str">
        <f>IF(Table_ErrorList[[#This Row],[Manual Reference]]="",Table_ErrorList[[#This Row],[''Attention To'' Refence]],Table_ErrorList[[#This Row],[Manual Reference]])&amp;","</f>
        <v>$C$31,$C$32,</v>
      </c>
      <c r="K31" s="101" t="e">
        <f>SUBSTITUTE(SUBSTITUTE(VLOOKUP(Table_ErrorList[[#This Row],[Attention To Named Range]],Table_NamedRanges[],MATCH(Table_NamedRanges[[#Headers],[Reference Text]],Table_NamedRanges[#Headers],0),FALSE),"=",""),"'Travel Expense Summary'!","")</f>
        <v>#N/A</v>
      </c>
      <c r="L31" s="101" t="s">
        <v>301</v>
      </c>
      <c r="M31" s="81" t="s">
        <v>306</v>
      </c>
      <c r="N31" s="81" t="s">
        <v>303</v>
      </c>
      <c r="O31" s="81" t="b">
        <v>1</v>
      </c>
      <c r="P31" s="100" t="s">
        <v>307</v>
      </c>
      <c r="Q31" s="100" t="s">
        <v>308</v>
      </c>
      <c r="R31" s="102" t="str">
        <f>CONCATENATE(Table_ErrorList[[#This Row],[Details Explanation (Line '#1)]],IF(Table_ErrorList[[#This Row],[Details Explanation (Line '#2)]]&lt;&gt;"",CHAR(10)&amp;Table_ErrorList[[#This Row],[Details Explanation (Line '#2)]],""))</f>
        <v>Ensure that 'Travel End Date' is no greater than 60 days from the 'Travel Start Date'. 
If you are attempting to claim a trip longer than 60 days, please submit two separate one-way claims.</v>
      </c>
      <c r="S31" s="81" t="b">
        <v>1</v>
      </c>
      <c r="T31" s="101" t="str">
        <f>IF(LEN(Table_ErrorList[[#This Row],[Message Bar Display]])&gt;$U$5,"Too Long, Characters = "&amp;LEN(Table_ErrorList[[#This Row],[Message Bar Display]])," ")</f>
        <v xml:space="preserve"> </v>
      </c>
      <c r="U31" s="101" t="str">
        <f>IF(LEN(Table_ErrorList[[#This Row],[Details Explanation (Line '#1)]])&gt;$U$5,"Too Long, Characters = "&amp;LEN(Table_ErrorList[[#This Row],[Details Explanation (Line '#1)]])," ")</f>
        <v xml:space="preserve"> </v>
      </c>
      <c r="V31" s="101" t="str">
        <f>IF(LEN(Table_ErrorList[[#This Row],[Details Explanation (Line '#2)]])&gt;$U$5,"Too Long, Characters = "&amp;LEN(Table_ErrorList[[#This Row],[Details Explanation (Line '#2)]])," ")</f>
        <v xml:space="preserve"> </v>
      </c>
    </row>
    <row r="32" spans="1:22" ht="33.75" x14ac:dyDescent="0.25">
      <c r="A32" s="99" t="b">
        <f>IF(VLOOKUP(Field09_PayeeType,Table_PayeeType[],MATCH(Table_PayeeType[[#Headers],[ClaimDetails Available]],Table_PayeeType[#Headers],0),FALSE),
OR(ISBLANK(Table_ErrorList[[#This Row],[Relevant Cell Value]]),Table_ErrorList[[#This Row],[Relevant Cell Value]]=Dropdown_NotSelectedValue,Table_ErrorList[[#This Row],[Relevant Cell Value]]=0),FALSE)</f>
        <v>0</v>
      </c>
      <c r="B32" s="101" t="str">
        <f ca="1">IFERROR(INDIRECT(Table_ErrorList[[#This Row],[Attention To Named Range]]),"Error")</f>
        <v>Select</v>
      </c>
      <c r="C32" s="96">
        <v>170</v>
      </c>
      <c r="D32" s="96" t="str">
        <f ca="1">IF(Table_ErrorList[[#This Row],[Manual Hierarchy]]="",CONCATENATE(TEXT(Table_ErrorList[[#This Row],[Section '#]],"00"),"-",TEXT(COUNTIF($E32:OFFSET(Table_ErrorList[[#Headers],[Section '#]],1,0,1,1),Table_ErrorList[[#This Row],[Section '#]]),"000")),Table_ErrorList[[#This Row],[Manual Hierarchy]])</f>
        <v>03-001</v>
      </c>
      <c r="E32" s="98">
        <v>3</v>
      </c>
      <c r="F32" s="98" t="str">
        <f>IFERROR(VLOOKUP(Table_ErrorList[[#This Row],[Section '#]],Table_SectionNames[],MATCH(Table_SectionNames[[#Headers],[Name]],Table_SectionNames[#Headers],0),FALSE),"Not found")</f>
        <v>Claim Details</v>
      </c>
      <c r="G32" s="98"/>
      <c r="H32" s="101" t="str">
        <f>IFERROR(VLOOKUP(Table_ErrorList[[#This Row],[Attention To Named Range]],Table_NamedRanges[],MATCH(Table_NamedRanges[[#Headers],[Reference Type]],Table_NamedRanges[#Headers],0),FALSE),"Error")</f>
        <v>Single Cell</v>
      </c>
      <c r="I32" s="96" t="s">
        <v>309</v>
      </c>
      <c r="J32" s="101" t="str">
        <f>IF(Table_ErrorList[[#This Row],[Manual Reference]]="",Table_ErrorList[[#This Row],[''Attention To'' Refence]],Table_ErrorList[[#This Row],[Manual Reference]])&amp;","</f>
        <v>$C$35,</v>
      </c>
      <c r="K32" s="101" t="str">
        <f>SUBSTITUTE(SUBSTITUTE(VLOOKUP(Table_ErrorList[[#This Row],[Attention To Named Range]],Table_NamedRanges[],MATCH(Table_NamedRanges[[#Headers],[Reference Text]],Table_NamedRanges[#Headers],0),FALSE),"=",""),"'Travel Expense Summary'!","")</f>
        <v>$C$35</v>
      </c>
      <c r="L32" s="101"/>
      <c r="M32" s="81" t="s">
        <v>310</v>
      </c>
      <c r="N32" s="81" t="s">
        <v>311</v>
      </c>
      <c r="O32" s="81" t="b">
        <v>1</v>
      </c>
      <c r="P32" s="100" t="s">
        <v>312</v>
      </c>
      <c r="Q32" s="100" t="s">
        <v>313</v>
      </c>
      <c r="R32" s="100" t="str">
        <f>CONCATENATE(Table_ErrorList[[#This Row],[Details Explanation (Line '#1)]],IF(Table_ErrorList[[#This Row],[Details Explanation (Line '#2)]]&lt;&gt;"",CHAR(10)&amp;Table_ErrorList[[#This Row],[Details Explanation (Line '#2)]],""))</f>
        <v>Select a 'Claim Type' from the in-cell dropdown list.
The 'Claim Type' field differentiates between a travel advance and a final claim.</v>
      </c>
      <c r="S32" s="81" t="b">
        <v>1</v>
      </c>
      <c r="T32" s="81" t="str">
        <f>IF(LEN(Table_ErrorList[[#This Row],[Message Bar Display]])&gt;$U$5,"Too Long, Characters = "&amp;LEN(Table_ErrorList[[#This Row],[Message Bar Display]])," ")</f>
        <v xml:space="preserve"> </v>
      </c>
      <c r="U32" s="81" t="str">
        <f>IF(LEN(Table_ErrorList[[#This Row],[Details Explanation (Line '#1)]])&gt;$U$5,"Too Long, Characters = "&amp;LEN(Table_ErrorList[[#This Row],[Details Explanation (Line '#1)]])," ")</f>
        <v xml:space="preserve"> </v>
      </c>
      <c r="V32" s="81" t="str">
        <f>IF(LEN(Table_ErrorList[[#This Row],[Details Explanation (Line '#2)]])&gt;$U$5,"Too Long, Characters = "&amp;LEN(Table_ErrorList[[#This Row],[Details Explanation (Line '#2)]])," ")</f>
        <v xml:space="preserve"> </v>
      </c>
    </row>
    <row r="33" spans="1:22" ht="22.5" x14ac:dyDescent="0.25">
      <c r="A33" s="103" t="b">
        <f>IF(AND(VLOOKUP(Field17_ClaimType,Table_ClaimType[],MATCH(Table_ClaimType[[#Headers],[Advance Amount Available]],Table_ClaimType[#Headers],0),FALSE)=TRUE,VLOOKUP(Field09_PayeeType,Table_PayeeType[],MATCH(Table_PayeeType[[#Headers],[ClaimDetails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3" s="101">
        <f ca="1">IFERROR(INDIRECT(Table_ErrorList[[#This Row],[Attention To Named Range]]),"Error")</f>
        <v>0</v>
      </c>
      <c r="C33" s="96">
        <v>180</v>
      </c>
      <c r="D33" s="96" t="str">
        <f ca="1">IF(Table_ErrorList[[#This Row],[Manual Hierarchy]]="",CONCATENATE(TEXT(Table_ErrorList[[#This Row],[Section '#]],"00"),"-",TEXT(COUNTIF($E33:OFFSET(Table_ErrorList[[#Headers],[Section '#]],1,0,1,1),Table_ErrorList[[#This Row],[Section '#]]),"000")),Table_ErrorList[[#This Row],[Manual Hierarchy]])</f>
        <v>03-002</v>
      </c>
      <c r="E33" s="98">
        <v>3</v>
      </c>
      <c r="F33" s="98" t="str">
        <f>IFERROR(VLOOKUP(Table_ErrorList[[#This Row],[Section '#]],Table_SectionNames[],MATCH(Table_SectionNames[[#Headers],[Name]],Table_SectionNames[#Headers],0),FALSE),"Not found")</f>
        <v>Claim Details</v>
      </c>
      <c r="G33" s="98"/>
      <c r="H33" s="101" t="str">
        <f>IFERROR(VLOOKUP(Table_ErrorList[[#This Row],[Attention To Named Range]],Table_NamedRanges[],MATCH(Table_NamedRanges[[#Headers],[Reference Type]],Table_NamedRanges[#Headers],0),FALSE),"Error")</f>
        <v>Single Cell</v>
      </c>
      <c r="I33" s="96" t="s">
        <v>314</v>
      </c>
      <c r="J33" s="101" t="str">
        <f>IF(Table_ErrorList[[#This Row],[Manual Reference]]="",Table_ErrorList[[#This Row],[''Attention To'' Refence]],Table_ErrorList[[#This Row],[Manual Reference]])&amp;","</f>
        <v>$C$36,</v>
      </c>
      <c r="K33" s="101" t="str">
        <f>SUBSTITUTE(SUBSTITUTE(VLOOKUP(Table_ErrorList[[#This Row],[Attention To Named Range]],Table_NamedRanges[],MATCH(Table_NamedRanges[[#Headers],[Reference Text]],Table_NamedRanges[#Headers],0),FALSE),"=",""),"'Travel Expense Summary'!","")</f>
        <v>$C$36</v>
      </c>
      <c r="L33" s="101"/>
      <c r="M33" s="104" t="s">
        <v>315</v>
      </c>
      <c r="N33" s="81" t="s">
        <v>316</v>
      </c>
      <c r="O33" s="81" t="b">
        <v>1</v>
      </c>
      <c r="P33" s="100" t="s">
        <v>317</v>
      </c>
      <c r="Q33" s="100"/>
      <c r="R33" s="102" t="str">
        <f>CONCATENATE(Table_ErrorList[[#This Row],[Details Explanation (Line '#1)]],IF(Table_ErrorList[[#This Row],[Details Explanation (Line '#2)]]&lt;&gt;"",CHAR(10)&amp;Table_ErrorList[[#This Row],[Details Explanation (Line '#2)]],""))</f>
        <v>Enter the amount of the 'Travel Advance' you received with respect to this trip.</v>
      </c>
      <c r="S33" s="81" t="b">
        <v>1</v>
      </c>
      <c r="T33" s="81" t="str">
        <f>IF(LEN(Table_ErrorList[[#This Row],[Message Bar Display]])&gt;$U$5,"Too Long, Characters = "&amp;LEN(Table_ErrorList[[#This Row],[Message Bar Display]])," ")</f>
        <v xml:space="preserve"> </v>
      </c>
      <c r="U33" s="81" t="str">
        <f>IF(LEN(Table_ErrorList[[#This Row],[Details Explanation (Line '#1)]])&gt;$U$5,"Too Long, Characters = "&amp;LEN(Table_ErrorList[[#This Row],[Details Explanation (Line '#1)]])," ")</f>
        <v xml:space="preserve"> </v>
      </c>
      <c r="V33" s="81" t="str">
        <f>IF(LEN(Table_ErrorList[[#This Row],[Details Explanation (Line '#2)]])&gt;$U$5,"Too Long, Characters = "&amp;LEN(Table_ErrorList[[#This Row],[Details Explanation (Line '#2)]])," ")</f>
        <v xml:space="preserve"> </v>
      </c>
    </row>
    <row r="34" spans="1:22" ht="45" x14ac:dyDescent="0.25">
      <c r="A34" s="103" t="b">
        <f>IF(VLOOKUP(Field09_PayeeType,Table_PayeeType[],MATCH(Table_PayeeType[[#Headers],[ClaimDetails Available]],Table_PayeeType[#Headers],0),FALSE)=TRUE,OR(ISBLANK(Table_ErrorList[[#This Row],[Relevant Cell Value]]),Table_ErrorList[[#This Row],[Relevant Cell Value]]=Dropdown_NotSelectedValue,Table_ErrorList[[#This Row],[Relevant Cell Value]]=0),FALSE)</f>
        <v>0</v>
      </c>
      <c r="B34" s="103" t="str">
        <f ca="1">IFERROR(INDIRECT(Table_ErrorList[[#This Row],[Attention To Named Range]]),"Error")</f>
        <v>Select</v>
      </c>
      <c r="C34" s="105">
        <v>190</v>
      </c>
      <c r="D34" s="105" t="str">
        <f ca="1">IF(Table_ErrorList[[#This Row],[Manual Hierarchy]]="",CONCATENATE(TEXT(Table_ErrorList[[#This Row],[Section '#]],"00"),"-",TEXT(COUNTIF($E34:OFFSET(Table_ErrorList[[#Headers],[Section '#]],1,0,1,1),Table_ErrorList[[#This Row],[Section '#]]),"000")),Table_ErrorList[[#This Row],[Manual Hierarchy]])</f>
        <v>03-003</v>
      </c>
      <c r="E34" s="106">
        <v>3</v>
      </c>
      <c r="F34" s="106" t="str">
        <f>IFERROR(VLOOKUP(Table_ErrorList[[#This Row],[Section '#]],Table_SectionNames[],MATCH(Table_SectionNames[[#Headers],[Name]],Table_SectionNames[#Headers],0),FALSE),"Not found")</f>
        <v>Claim Details</v>
      </c>
      <c r="G34" s="106"/>
      <c r="H34" s="103" t="str">
        <f>IFERROR(VLOOKUP(Table_ErrorList[[#This Row],[Attention To Named Range]],Table_NamedRanges[],MATCH(Table_NamedRanges[[#Headers],[Reference Type]],Table_NamedRanges[#Headers],0),FALSE),"Error")</f>
        <v>Single Cell</v>
      </c>
      <c r="I34" s="105" t="s">
        <v>318</v>
      </c>
      <c r="J34" s="103" t="str">
        <f>IF(Table_ErrorList[[#This Row],[Manual Reference]]="",Table_ErrorList[[#This Row],[''Attention To'' Refence]],Table_ErrorList[[#This Row],[Manual Reference]])&amp;","</f>
        <v>$C$37,</v>
      </c>
      <c r="K34" s="103" t="str">
        <f>SUBSTITUTE(SUBSTITUTE(VLOOKUP(Table_ErrorList[[#This Row],[Attention To Named Range]],Table_NamedRanges[],MATCH(Table_NamedRanges[[#Headers],[Reference Text]],Table_NamedRanges[#Headers],0),FALSE),"=",""),"'Travel Expense Summary'!","")</f>
        <v>$C$37</v>
      </c>
      <c r="L34" s="103"/>
      <c r="M34" s="104" t="s">
        <v>319</v>
      </c>
      <c r="N34" s="81" t="s">
        <v>320</v>
      </c>
      <c r="O34" s="81" t="b">
        <v>1</v>
      </c>
      <c r="P34" s="100" t="s">
        <v>321</v>
      </c>
      <c r="Q34" s="100" t="s">
        <v>322</v>
      </c>
      <c r="R34" s="102" t="str">
        <f>CONCATENATE(Table_ErrorList[[#This Row],[Details Explanation (Line '#1)]],IF(Table_ErrorList[[#This Row],[Details Explanation (Line '#2)]]&lt;&gt;"",CHAR(10)&amp;Table_ErrorList[[#This Row],[Details Explanation (Line '#2)]],""))</f>
        <v>Select a 'Purpose' from the in-cell dropdown list. If this is not Conference Travel, select 'Other'.
This field is to help determine whether or not you need to include an 'Applicanation for Conference Attendance' with your claim.</v>
      </c>
      <c r="S34" s="81" t="b">
        <v>1</v>
      </c>
      <c r="T34" s="81" t="str">
        <f>IF(LEN(Table_ErrorList[[#This Row],[Message Bar Display]])&gt;$U$5,"Too Long, Characters = "&amp;LEN(Table_ErrorList[[#This Row],[Message Bar Display]])," ")</f>
        <v xml:space="preserve"> </v>
      </c>
      <c r="U34" s="81" t="str">
        <f>IF(LEN(Table_ErrorList[[#This Row],[Details Explanation (Line '#1)]])&gt;$U$5,"Too Long, Characters = "&amp;LEN(Table_ErrorList[[#This Row],[Details Explanation (Line '#1)]])," ")</f>
        <v xml:space="preserve"> </v>
      </c>
      <c r="V34" s="81" t="str">
        <f>IF(LEN(Table_ErrorList[[#This Row],[Details Explanation (Line '#2)]])&gt;$U$5,"Too Long, Characters = "&amp;LEN(Table_ErrorList[[#This Row],[Details Explanation (Line '#2)]])," ")</f>
        <v xml:space="preserve"> </v>
      </c>
    </row>
    <row r="35" spans="1:22" ht="45" x14ac:dyDescent="0.25">
      <c r="A35" s="103" t="b">
        <f>IF(AND(VLOOKUP(Field19_Purpose,Table_Conference[],MATCH(Table_Conference[[#Headers],[Form Required Available]],Table_Conference[#Headers],0),FALSE)=TRUE,VLOOKUP(Field09_PayeeType,Table_PayeeType[],MATCH(Table_PayeeType[[#Headers],[ClaimDetails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5" s="103" t="str">
        <f ca="1">IFERROR(INDIRECT(Table_ErrorList[[#This Row],[Attention To Named Range]]),"Error")</f>
        <v>Select</v>
      </c>
      <c r="C35" s="105">
        <v>200</v>
      </c>
      <c r="D35" s="105" t="str">
        <f ca="1">IF(Table_ErrorList[[#This Row],[Manual Hierarchy]]="",CONCATENATE(TEXT(Table_ErrorList[[#This Row],[Section '#]],"00"),"-",TEXT(COUNTIF($E35:OFFSET(Table_ErrorList[[#Headers],[Section '#]],1,0,1,1),Table_ErrorList[[#This Row],[Section '#]]),"000")),Table_ErrorList[[#This Row],[Manual Hierarchy]])</f>
        <v>04-001</v>
      </c>
      <c r="E35" s="106">
        <v>4</v>
      </c>
      <c r="F35" s="106" t="str">
        <f>IFERROR(VLOOKUP(Table_ErrorList[[#This Row],[Section '#]],Table_SectionNames[],MATCH(Table_SectionNames[[#Headers],[Name]],Table_SectionNames[#Headers],0),FALSE),"Not found")</f>
        <v>Travel Particulars</v>
      </c>
      <c r="G35" s="106"/>
      <c r="H35" s="103" t="str">
        <f>IFERROR(VLOOKUP(Table_ErrorList[[#This Row],[Attention To Named Range]],Table_NamedRanges[],MATCH(Table_NamedRanges[[#Headers],[Reference Type]],Table_NamedRanges[#Headers],0),FALSE),"Error")</f>
        <v>Single Cell</v>
      </c>
      <c r="I35" s="105" t="s">
        <v>323</v>
      </c>
      <c r="J35" s="103" t="str">
        <f>IF(Table_ErrorList[[#This Row],[Manual Reference]]="",Table_ErrorList[[#This Row],[''Attention To'' Refence]],Table_ErrorList[[#This Row],[Manual Reference]])&amp;","</f>
        <v>$C$38,</v>
      </c>
      <c r="K35" s="103" t="str">
        <f>SUBSTITUTE(SUBSTITUTE(VLOOKUP(Table_ErrorList[[#This Row],[Attention To Named Range]],Table_NamedRanges[],MATCH(Table_NamedRanges[[#Headers],[Reference Text]],Table_NamedRanges[#Headers],0),FALSE),"=",""),"'Travel Expense Summary'!","")</f>
        <v>$C$38</v>
      </c>
      <c r="L35" s="103"/>
      <c r="M35" s="104" t="s">
        <v>324</v>
      </c>
      <c r="N35" s="81" t="s">
        <v>325</v>
      </c>
      <c r="O35" s="81" t="b">
        <v>1</v>
      </c>
      <c r="P35" s="100" t="s">
        <v>326</v>
      </c>
      <c r="Q35" s="100" t="s">
        <v>327</v>
      </c>
      <c r="R35" s="102" t="str">
        <f>CONCATENATE(Table_ErrorList[[#This Row],[Details Explanation (Line '#1)]],IF(Table_ErrorList[[#This Row],[Details Explanation (Line '#2)]]&lt;&gt;"",CHAR(10)&amp;Table_ErrorList[[#This Row],[Details Explanation (Line '#2)]],""))</f>
        <v>Select who conference travel was 'Requested By' from the in-cell dropdwn list.
This field identifies whether or not conference travel was intitiated by the organization or the payee to determine the documentation required.</v>
      </c>
      <c r="S35" s="81" t="b">
        <v>1</v>
      </c>
      <c r="T35" s="81" t="str">
        <f>IF(LEN(Table_ErrorList[[#This Row],[Message Bar Display]])&gt;$U$5,"Too Long, Characters = "&amp;LEN(Table_ErrorList[[#This Row],[Message Bar Display]])," ")</f>
        <v xml:space="preserve"> </v>
      </c>
      <c r="U35" s="81" t="str">
        <f>IF(LEN(Table_ErrorList[[#This Row],[Details Explanation (Line '#1)]])&gt;$U$5,"Too Long, Characters = "&amp;LEN(Table_ErrorList[[#This Row],[Details Explanation (Line '#1)]])," ")</f>
        <v xml:space="preserve"> </v>
      </c>
      <c r="V35" s="81" t="str">
        <f>IF(LEN(Table_ErrorList[[#This Row],[Details Explanation (Line '#2)]])&gt;$U$5,"Too Long, Characters = "&amp;LEN(Table_ErrorList[[#This Row],[Details Explanation (Line '#2)]])," ")</f>
        <v xml:space="preserve"> </v>
      </c>
    </row>
    <row r="36" spans="1:22" s="30" customFormat="1" ht="30" x14ac:dyDescent="0.25">
      <c r="A36" s="101" t="b">
        <f ca="1">OR(ISBLANK(Table_ErrorList[[#This Row],[Relevant Cell Value]]),Table_ErrorList[[#This Row],[Relevant Cell Value]]=Dropdown_NotSelectedValue,Table_ErrorList[[#This Row],[Relevant Cell Value]]=0)</f>
        <v>0</v>
      </c>
      <c r="B36" s="101" t="str">
        <f ca="1">IFERROR(INDIRECT(Table_ErrorList[[#This Row],[Attention To Named Range]]),"Error")</f>
        <v>Completing a University of Toronto RS Clinical Placement</v>
      </c>
      <c r="C36" s="96">
        <v>210</v>
      </c>
      <c r="D36" s="96" t="str">
        <f ca="1">IF(Table_ErrorList[[#This Row],[Manual Hierarchy]]="",CONCATENATE(TEXT(Table_ErrorList[[#This Row],[Section '#]],"00"),"-",TEXT(COUNTIF($E36:OFFSET(Table_ErrorList[[#Headers],[Section '#]],1,0,1,1),Table_ErrorList[[#This Row],[Section '#]]),"000")),Table_ErrorList[[#This Row],[Manual Hierarchy]])</f>
        <v>04-002</v>
      </c>
      <c r="E36" s="98">
        <v>4</v>
      </c>
      <c r="F36" s="98" t="str">
        <f>IFERROR(VLOOKUP(Table_ErrorList[[#This Row],[Section '#]],Table_SectionNames[],MATCH(Table_SectionNames[[#Headers],[Name]],Table_SectionNames[#Headers],0),FALSE),"Not found")</f>
        <v>Travel Particulars</v>
      </c>
      <c r="G36" s="98"/>
      <c r="H36" s="101" t="str">
        <f>IFERROR(VLOOKUP(Table_ErrorList[[#This Row],[Attention To Named Range]],Table_NamedRanges[],MATCH(Table_NamedRanges[[#Headers],[Reference Type]],Table_NamedRanges[#Headers],0),FALSE),"Error")</f>
        <v>Single Cell</v>
      </c>
      <c r="I36" s="96" t="s">
        <v>328</v>
      </c>
      <c r="J36" s="101" t="str">
        <f>IF(Table_ErrorList[[#This Row],[Manual Reference]]="",Table_ErrorList[[#This Row],[''Attention To'' Refence]],Table_ErrorList[[#This Row],[Manual Reference]])&amp;","</f>
        <v>$H$13,</v>
      </c>
      <c r="K36" s="101" t="str">
        <f>SUBSTITUTE(SUBSTITUTE(VLOOKUP(Table_ErrorList[[#This Row],[Attention To Named Range]],Table_NamedRanges[],MATCH(Table_NamedRanges[[#Headers],[Reference Text]],Table_NamedRanges[#Headers],0),FALSE),"=",""),"'Travel Expense Summary'!","")</f>
        <v>$H$13</v>
      </c>
      <c r="L36" s="101"/>
      <c r="M36" s="81" t="s">
        <v>329</v>
      </c>
      <c r="N36" s="81" t="s">
        <v>330</v>
      </c>
      <c r="O36" s="81" t="b">
        <v>1</v>
      </c>
      <c r="P36" s="100" t="s">
        <v>331</v>
      </c>
      <c r="Q36" s="100" t="s">
        <v>332</v>
      </c>
      <c r="R36" s="102" t="str">
        <f>CONCATENATE(Table_ErrorList[[#This Row],[Details Explanation (Line '#1)]],IF(Table_ErrorList[[#This Row],[Details Explanation (Line '#2)]]&lt;&gt;"",CHAR(10)&amp;Table_ErrorList[[#This Row],[Details Explanation (Line '#2)]],""))</f>
        <v xml:space="preserve">Enter a 'Description' of why the travel is occuring.
This is a free text field with a 200 character limit. </v>
      </c>
      <c r="S36" s="81" t="b">
        <v>1</v>
      </c>
      <c r="T36" s="81" t="str">
        <f>IF(LEN(Table_ErrorList[[#This Row],[Message Bar Display]])&gt;$U$5,"Too Long, Characters = "&amp;LEN(Table_ErrorList[[#This Row],[Message Bar Display]])," ")</f>
        <v xml:space="preserve"> </v>
      </c>
      <c r="U36" s="81" t="str">
        <f>IF(LEN(Table_ErrorList[[#This Row],[Details Explanation (Line '#1)]])&gt;$U$5,"Too Long, Characters = "&amp;LEN(Table_ErrorList[[#This Row],[Details Explanation (Line '#1)]])," ")</f>
        <v xml:space="preserve"> </v>
      </c>
      <c r="V36" s="81" t="str">
        <f>IF(LEN(Table_ErrorList[[#This Row],[Details Explanation (Line '#2)]])&gt;$U$5,"Too Long, Characters = "&amp;LEN(Table_ErrorList[[#This Row],[Details Explanation (Line '#2)]])," ")</f>
        <v xml:space="preserve"> </v>
      </c>
    </row>
    <row r="37" spans="1:22" s="30" customFormat="1" ht="30" x14ac:dyDescent="0.25">
      <c r="A37" s="103" t="b">
        <f>IF(COUNTA(Field23_ContactName,Field24_ContactEmail,Field25_ContactPhone)&gt;0,
IF(OR(COUNTA(Field24_ContactEmail)&gt;0,COUNTA(Field25_ContactPhone)&gt;0),OR(ISBLANK(Table_ErrorList[[#This Row],[Relevant Cell Value]]),Table_ErrorList[[#This Row],[Relevant Cell Value]]=Dropdown_NotSelectedValue,Table_ErrorList[[#This Row],[Relevant Cell Value]]=0),FALSE),FALSE)</f>
        <v>0</v>
      </c>
      <c r="B37" s="103">
        <f ca="1">IFERROR(INDIRECT(Table_ErrorList[[#This Row],[Attention To Named Range]]),"Error")</f>
        <v>0</v>
      </c>
      <c r="C37" s="105">
        <v>221</v>
      </c>
      <c r="D37" s="105" t="str">
        <f ca="1">IF(Table_ErrorList[[#This Row],[Manual Hierarchy]]="",CONCATENATE(TEXT(Table_ErrorList[[#This Row],[Section '#]],"00"),"-",TEXT(COUNTIF($E37:OFFSET(Table_ErrorList[[#Headers],[Section '#]],1,0,1,1),Table_ErrorList[[#This Row],[Section '#]]),"000")),Table_ErrorList[[#This Row],[Manual Hierarchy]])</f>
        <v>05-001</v>
      </c>
      <c r="E37" s="106">
        <v>5</v>
      </c>
      <c r="F37" s="106" t="str">
        <f>IFERROR(VLOOKUP(Table_ErrorList[[#This Row],[Section '#]],Table_SectionNames[],MATCH(Table_SectionNames[[#Headers],[Name]],Table_SectionNames[#Headers],0),FALSE),"Not found")</f>
        <v>Contact (if different than 'Payee')</v>
      </c>
      <c r="G37" s="106"/>
      <c r="H37" s="103" t="str">
        <f>IFERROR(VLOOKUP(Table_ErrorList[[#This Row],[Attention To Named Range]],Table_NamedRanges[],MATCH(Table_NamedRanges[[#Headers],[Reference Type]],Table_NamedRanges[#Headers],0),FALSE),"Error")</f>
        <v>Single Cell</v>
      </c>
      <c r="I37" s="105" t="s">
        <v>333</v>
      </c>
      <c r="J37" s="103" t="str">
        <f>IF(Table_ErrorList[[#This Row],[Manual Reference]]="",Table_ErrorList[[#This Row],[''Attention To'' Refence]],Table_ErrorList[[#This Row],[Manual Reference]])&amp;","</f>
        <v>$J$21,</v>
      </c>
      <c r="K37" s="103" t="str">
        <f>SUBSTITUTE(SUBSTITUTE(VLOOKUP(Table_ErrorList[[#This Row],[Attention To Named Range]],Table_NamedRanges[],MATCH(Table_NamedRanges[[#Headers],[Reference Text]],Table_NamedRanges[#Headers],0),FALSE),"=",""),"'Travel Expense Summary'!","")</f>
        <v>$J$21</v>
      </c>
      <c r="L37" s="103"/>
      <c r="M37" s="104" t="s">
        <v>334</v>
      </c>
      <c r="N37" s="104" t="s">
        <v>335</v>
      </c>
      <c r="O37" s="81" t="b">
        <v>1</v>
      </c>
      <c r="P37" s="100" t="s">
        <v>336</v>
      </c>
      <c r="Q37" s="100"/>
      <c r="R37" s="102" t="str">
        <f>CONCATENATE(Table_ErrorList[[#This Row],[Details Explanation (Line '#1)]],IF(Table_ErrorList[[#This Row],[Details Explanation (Line '#2)]]&lt;&gt;"",CHAR(10)&amp;Table_ErrorList[[#This Row],[Details Explanation (Line '#2)]],""))</f>
        <v>Enter a first and last name for the contact associated with the email and/or phone number entered.</v>
      </c>
      <c r="S37" s="81" t="b">
        <v>1</v>
      </c>
      <c r="T37" s="81" t="str">
        <f>IF(LEN(Table_ErrorList[[#This Row],[Message Bar Display]])&gt;$U$5,"Too Long, Characters = "&amp;LEN(Table_ErrorList[[#This Row],[Message Bar Display]])," ")</f>
        <v xml:space="preserve"> </v>
      </c>
      <c r="U37" s="81" t="str">
        <f>IF(LEN(Table_ErrorList[[#This Row],[Details Explanation (Line '#1)]])&gt;$U$5,"Too Long, Characters = "&amp;LEN(Table_ErrorList[[#This Row],[Details Explanation (Line '#1)]])," ")</f>
        <v xml:space="preserve"> </v>
      </c>
      <c r="V37" s="81" t="str">
        <f>IF(LEN(Table_ErrorList[[#This Row],[Details Explanation (Line '#2)]])&gt;$U$5,"Too Long, Characters = "&amp;LEN(Table_ErrorList[[#This Row],[Details Explanation (Line '#2)]])," ")</f>
        <v xml:space="preserve"> </v>
      </c>
    </row>
    <row r="38" spans="1:22" s="30" customFormat="1" ht="30" x14ac:dyDescent="0.25">
      <c r="A38" s="103" t="b">
        <f>IF(COUNTA(Field23_ContactName,Field24_ContactEmail,Field25_ContactPhone)&gt;0,
IF(OR(COUNTA(Field23_ContactName)&gt;0,COUNTA(Field25_ContactPhone)&gt;0),OR(ISBLANK(Table_ErrorList[[#This Row],[Relevant Cell Value]]),Table_ErrorList[[#This Row],[Relevant Cell Value]]=Dropdown_NotSelectedValue,Table_ErrorList[[#This Row],[Relevant Cell Value]]=0),FALSE),FALSE)</f>
        <v>0</v>
      </c>
      <c r="B38" s="103">
        <f ca="1">IFERROR(INDIRECT(Table_ErrorList[[#This Row],[Attention To Named Range]]),"Error")</f>
        <v>0</v>
      </c>
      <c r="C38" s="105">
        <v>222</v>
      </c>
      <c r="D38" s="105" t="str">
        <f ca="1">IF(Table_ErrorList[[#This Row],[Manual Hierarchy]]="",CONCATENATE(TEXT(Table_ErrorList[[#This Row],[Section '#]],"00"),"-",TEXT(COUNTIF($E38:OFFSET(Table_ErrorList[[#Headers],[Section '#]],1,0,1,1),Table_ErrorList[[#This Row],[Section '#]]),"000")),Table_ErrorList[[#This Row],[Manual Hierarchy]])</f>
        <v>05-002</v>
      </c>
      <c r="E38" s="106">
        <v>5</v>
      </c>
      <c r="F38" s="106" t="str">
        <f>IFERROR(VLOOKUP(Table_ErrorList[[#This Row],[Section '#]],Table_SectionNames[],MATCH(Table_SectionNames[[#Headers],[Name]],Table_SectionNames[#Headers],0),FALSE),"Not found")</f>
        <v>Contact (if different than 'Payee')</v>
      </c>
      <c r="G38" s="106"/>
      <c r="H38" s="103" t="str">
        <f>IFERROR(VLOOKUP(Table_ErrorList[[#This Row],[Attention To Named Range]],Table_NamedRanges[],MATCH(Table_NamedRanges[[#Headers],[Reference Type]],Table_NamedRanges[#Headers],0),FALSE),"Error")</f>
        <v>Single Cell</v>
      </c>
      <c r="I38" s="105" t="s">
        <v>337</v>
      </c>
      <c r="J38" s="103" t="str">
        <f>IF(Table_ErrorList[[#This Row],[Manual Reference]]="",Table_ErrorList[[#This Row],[''Attention To'' Refence]],Table_ErrorList[[#This Row],[Manual Reference]])&amp;","</f>
        <v>$J$22,</v>
      </c>
      <c r="K38" s="103" t="str">
        <f>SUBSTITUTE(SUBSTITUTE(VLOOKUP(Table_ErrorList[[#This Row],[Attention To Named Range]],Table_NamedRanges[],MATCH(Table_NamedRanges[[#Headers],[Reference Text]],Table_NamedRanges[#Headers],0),FALSE),"=",""),"'Travel Expense Summary'!","")</f>
        <v>$J$22</v>
      </c>
      <c r="L38" s="103"/>
      <c r="M38" s="104" t="s">
        <v>338</v>
      </c>
      <c r="N38" s="104" t="s">
        <v>339</v>
      </c>
      <c r="O38" s="81" t="b">
        <v>1</v>
      </c>
      <c r="P38" s="100" t="s">
        <v>247</v>
      </c>
      <c r="Q38" s="100"/>
      <c r="R38" s="102"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v>
      </c>
      <c r="S38" s="81" t="b">
        <v>1</v>
      </c>
      <c r="T38" s="81" t="str">
        <f>IF(LEN(Table_ErrorList[[#This Row],[Message Bar Display]])&gt;$U$5,"Too Long, Characters = "&amp;LEN(Table_ErrorList[[#This Row],[Message Bar Display]])," ")</f>
        <v xml:space="preserve"> </v>
      </c>
      <c r="U38" s="81" t="str">
        <f>IF(LEN(Table_ErrorList[[#This Row],[Details Explanation (Line '#1)]])&gt;$U$5,"Too Long, Characters = "&amp;LEN(Table_ErrorList[[#This Row],[Details Explanation (Line '#1)]])," ")</f>
        <v xml:space="preserve"> </v>
      </c>
      <c r="V38" s="81" t="str">
        <f>IF(LEN(Table_ErrorList[[#This Row],[Details Explanation (Line '#2)]])&gt;$U$5,"Too Long, Characters = "&amp;LEN(Table_ErrorList[[#This Row],[Details Explanation (Line '#2)]])," ")</f>
        <v xml:space="preserve"> </v>
      </c>
    </row>
    <row r="39" spans="1:22" ht="45" x14ac:dyDescent="0.25">
      <c r="A39" s="103" t="b">
        <f>IF(COUNTA(Field23_ContactName,Field24_ContactEmail,Field25_ContactPhone)&gt;0,
IF(OR(COUNTA(Field23_ContactName_ContactEmail)&gt;0,COUNTA(Field24_ContactEmail)&gt;0),OR(ISBLANK(Table_ErrorList[[#This Row],[Relevant Cell Value]]),Table_ErrorList[[#This Row],[Relevant Cell Value]]=Dropdown_NotSelectedValue,Table_ErrorList[[#This Row],[Relevant Cell Value]]=0),FALSE), FALSE)</f>
        <v>0</v>
      </c>
      <c r="B39" s="103">
        <f ca="1">IFERROR(INDIRECT(Table_ErrorList[[#This Row],[Attention To Named Range]]),"Error")</f>
        <v>0</v>
      </c>
      <c r="C39" s="105">
        <v>223</v>
      </c>
      <c r="D39" s="105" t="str">
        <f ca="1">IF(Table_ErrorList[[#This Row],[Manual Hierarchy]]="",CONCATENATE(TEXT(Table_ErrorList[[#This Row],[Section '#]],"00"),"-",TEXT(COUNTIF($E39:OFFSET(Table_ErrorList[[#Headers],[Section '#]],1,0,1,1),Table_ErrorList[[#This Row],[Section '#]]),"000")),Table_ErrorList[[#This Row],[Manual Hierarchy]])</f>
        <v>05-003</v>
      </c>
      <c r="E39" s="106">
        <v>5</v>
      </c>
      <c r="F39" s="106" t="str">
        <f>IFERROR(VLOOKUP(Table_ErrorList[[#This Row],[Section '#]],Table_SectionNames[],MATCH(Table_SectionNames[[#Headers],[Name]],Table_SectionNames[#Headers],0),FALSE),"Not found")</f>
        <v>Contact (if different than 'Payee')</v>
      </c>
      <c r="G39" s="106"/>
      <c r="H39" s="103" t="str">
        <f>IFERROR(VLOOKUP(Table_ErrorList[[#This Row],[Attention To Named Range]],Table_NamedRanges[],MATCH(Table_NamedRanges[[#Headers],[Reference Type]],Table_NamedRanges[#Headers],0),FALSE),"Error")</f>
        <v>Single Cell</v>
      </c>
      <c r="I39" s="105" t="s">
        <v>340</v>
      </c>
      <c r="J39" s="103" t="str">
        <f>IF(Table_ErrorList[[#This Row],[Manual Reference]]="",Table_ErrorList[[#This Row],[''Attention To'' Refence]],Table_ErrorList[[#This Row],[Manual Reference]])&amp;","</f>
        <v>$J$23,</v>
      </c>
      <c r="K39" s="103" t="str">
        <f>SUBSTITUTE(SUBSTITUTE(VLOOKUP(Table_ErrorList[[#This Row],[Attention To Named Range]],Table_NamedRanges[],MATCH(Table_NamedRanges[[#Headers],[Reference Text]],Table_NamedRanges[#Headers],0),FALSE),"=",""),"'Travel Expense Summary'!","")</f>
        <v>$J$23</v>
      </c>
      <c r="L39" s="103"/>
      <c r="M39" s="104" t="s">
        <v>341</v>
      </c>
      <c r="N39" s="104" t="s">
        <v>342</v>
      </c>
      <c r="O39" s="81" t="b">
        <v>1</v>
      </c>
      <c r="P39" s="100" t="s">
        <v>343</v>
      </c>
      <c r="Q39" s="100" t="s">
        <v>258</v>
      </c>
      <c r="R39" s="102" t="str">
        <f>CONCATENATE(Table_ErrorList[[#This Row],[Details Explanation (Line '#1)]],IF(Table_ErrorList[[#This Row],[Details Explanation (Line '#2)]]&lt;&gt;"",CHAR(10)&amp;Table_ErrorList[[#This Row],[Details Explanation (Line '#2)]],""))</f>
        <v>Enter a 10 digit phone number associated with the 'Contact' identified. This is a 3 digit area code and a 7 digit phone number. 
Enter the number only without any spaces or special characters (ie. 1234567890). The field will format automatically to '(123) 456-7890'.</v>
      </c>
      <c r="S39" s="81" t="b">
        <v>1</v>
      </c>
      <c r="T39" s="81" t="str">
        <f>IF(LEN(Table_ErrorList[[#This Row],[Message Bar Display]])&gt;$U$5,"Too Long, Characters = "&amp;LEN(Table_ErrorList[[#This Row],[Message Bar Display]])," ")</f>
        <v xml:space="preserve"> </v>
      </c>
      <c r="U39" s="81" t="str">
        <f>IF(LEN(Table_ErrorList[[#This Row],[Details Explanation (Line '#1)]])&gt;$U$5,"Too Long, Characters = "&amp;LEN(Table_ErrorList[[#This Row],[Details Explanation (Line '#1)]])," ")</f>
        <v xml:space="preserve"> </v>
      </c>
      <c r="V39" s="81" t="str">
        <f>IF(LEN(Table_ErrorList[[#This Row],[Details Explanation (Line '#2)]])&gt;$U$5,"Too Long, Characters = "&amp;LEN(Table_ErrorList[[#This Row],[Details Explanation (Line '#2)]])," ")</f>
        <v xml:space="preserve"> </v>
      </c>
    </row>
    <row r="40" spans="1:22" x14ac:dyDescent="0.25">
      <c r="A40" s="101" t="b">
        <f>COUNTA(ReceiptEntryArea)=0</f>
        <v>0</v>
      </c>
      <c r="B40" s="101" t="str">
        <f ca="1">IFERROR(INDIRECT(Table_ErrorList[[#This Row],[Attention To Named Range]]),"Error")</f>
        <v>Error</v>
      </c>
      <c r="C40" s="96">
        <v>230</v>
      </c>
      <c r="D40" s="96" t="str">
        <f ca="1">IF(Table_ErrorList[[#This Row],[Manual Hierarchy]]="",CONCATENATE(TEXT(Table_ErrorList[[#This Row],[Section '#]],"00"),"-",TEXT(COUNTIF($E40:OFFSET(Table_ErrorList[[#Headers],[Section '#]],1,0,1,1),Table_ErrorList[[#This Row],[Section '#]]),"000")),Table_ErrorList[[#This Row],[Manual Hierarchy]])</f>
        <v>06-001</v>
      </c>
      <c r="E40" s="98">
        <v>6</v>
      </c>
      <c r="F40" s="98" t="str">
        <f>IFERROR(VLOOKUP(Table_ErrorList[[#This Row],[Section '#]],Table_SectionNames[],MATCH(Table_SectionNames[[#Headers],[Name]],Table_SectionNames[#Headers],0),FALSE),"Not found")</f>
        <v>Meals</v>
      </c>
      <c r="G40" s="98"/>
      <c r="H40" s="101" t="str">
        <f>IFERROR(VLOOKUP(Table_ErrorList[[#This Row],[Attention To Named Range]],Table_NamedRanges[],MATCH(Table_NamedRanges[[#Headers],[Reference Type]],Table_NamedRanges[#Headers],0),FALSE),"Error")</f>
        <v>Multiple (Cell or Range)</v>
      </c>
      <c r="I40" s="96" t="s">
        <v>344</v>
      </c>
      <c r="J40" s="101" t="str">
        <f>IF(Table_ErrorList[[#This Row],[Manual Reference]]="",Table_ErrorList[[#This Row],[''Attention To'' Refence]],Table_ErrorList[[#This Row],[Manual Reference]])&amp;","</f>
        <v>$O$11,$H$25,</v>
      </c>
      <c r="K40" s="101" t="str">
        <f>SUBSTITUTE(SUBSTITUTE(VLOOKUP(Table_ErrorList[[#This Row],[Attention To Named Range]],Table_NamedRanges[],MATCH(Table_NamedRanges[[#Headers],[Reference Text]],Table_NamedRanges[#Headers],0),FALSE),"=",""),"'Travel Expense Summary'!","")</f>
        <v>$O$11,$H$25</v>
      </c>
      <c r="L40" s="101"/>
      <c r="M40" s="81" t="s">
        <v>345</v>
      </c>
      <c r="N40" s="81" t="s">
        <v>345</v>
      </c>
      <c r="O40" s="81" t="b">
        <v>1</v>
      </c>
      <c r="P40" s="100" t="s">
        <v>346</v>
      </c>
      <c r="Q40" s="100"/>
      <c r="R40" s="102" t="str">
        <f>CONCATENATE(Table_ErrorList[[#This Row],[Details Explanation (Line '#1)]],IF(Table_ErrorList[[#This Row],[Details Explanation (Line '#2)]]&lt;&gt;"",CHAR(10)&amp;Table_ErrorList[[#This Row],[Details Explanation (Line '#2)]],""))</f>
        <v>Begin filling out either the '5. Meals' table or the '6. Other Expenses' table.</v>
      </c>
      <c r="S40" s="81" t="b">
        <v>1</v>
      </c>
      <c r="T40" s="81" t="str">
        <f>IF(LEN(Table_ErrorList[[#This Row],[Message Bar Display]])&gt;$U$5,"Too Long, Characters = "&amp;LEN(Table_ErrorList[[#This Row],[Message Bar Display]])," ")</f>
        <v xml:space="preserve"> </v>
      </c>
      <c r="U40" s="81" t="str">
        <f>IF(LEN(Table_ErrorList[[#This Row],[Details Explanation (Line '#1)]])&gt;$U$5,"Too Long, Characters = "&amp;LEN(Table_ErrorList[[#This Row],[Details Explanation (Line '#1)]])," ")</f>
        <v xml:space="preserve"> </v>
      </c>
      <c r="V40" s="81" t="str">
        <f>IF(LEN(Table_ErrorList[[#This Row],[Details Explanation (Line '#2)]])&gt;$U$5,"Too Long, Characters = "&amp;LEN(Table_ErrorList[[#This Row],[Details Explanation (Line '#2)]])," ")</f>
        <v xml:space="preserve"> </v>
      </c>
    </row>
    <row r="41" spans="1:22" ht="45" x14ac:dyDescent="0.25">
      <c r="A41" s="101" t="b">
        <f>COUNTIF(Meal_DatesArray,MODE(Meal_DatesArray))&gt;1</f>
        <v>0</v>
      </c>
      <c r="B41" s="101" t="str">
        <f ca="1">IFERROR(INDIRECT(Table_ErrorList[[#This Row],[Attention To Named Range]]),"Error")</f>
        <v/>
      </c>
      <c r="C41" s="96">
        <v>390</v>
      </c>
      <c r="D41" s="96" t="str">
        <f ca="1">IF(Table_ErrorList[[#This Row],[Manual Hierarchy]]="",CONCATENATE(TEXT(Table_ErrorList[[#This Row],[Section '#]],"00"),"-",TEXT(COUNTIF($E41:OFFSET(Table_ErrorList[[#Headers],[Section '#]],1,0,1,1),Table_ErrorList[[#This Row],[Section '#]]),"000")),Table_ErrorList[[#This Row],[Manual Hierarchy]])</f>
        <v>06-002</v>
      </c>
      <c r="E41" s="98">
        <v>6</v>
      </c>
      <c r="F41" s="98" t="str">
        <f>IFERROR(VLOOKUP(Table_ErrorList[[#This Row],[Section '#]],Table_SectionNames[],MATCH(Table_SectionNames[[#Headers],[Name]],Table_SectionNames[#Headers],0),FALSE),"Not found")</f>
        <v>Meals</v>
      </c>
      <c r="G41" s="98"/>
      <c r="H41" s="101" t="str">
        <f>IFERROR(VLOOKUP(Table_ErrorList[[#This Row],[Attention To Named Range]],Table_NamedRanges[],MATCH(Table_NamedRanges[[#Headers],[Reference Type]],Table_NamedRanges[#Headers],0),FALSE),"Error")</f>
        <v>Single Cell</v>
      </c>
      <c r="I41" s="96" t="s">
        <v>347</v>
      </c>
      <c r="J41" s="101" t="str">
        <f ca="1">IF(Table_ErrorList[[#This Row],[Manual Reference]]="",Table_ErrorList[[#This Row],[''Attention To'' Refence]],Table_ErrorList[[#This Row],[Manual Reference]])&amp;","</f>
        <v>'Particulars Validation'!$AY$4,</v>
      </c>
      <c r="K41" s="101" t="str">
        <f>SUBSTITUTE(SUBSTITUTE(VLOOKUP(Table_ErrorList[[#This Row],[Attention To Named Range]],Table_NamedRanges[],MATCH(Table_NamedRanges[[#Headers],[Reference Text]],Table_NamedRanges[#Headers],0),FALSE),"=",""),"'Travel Expense Summary'!","")</f>
        <v>'Particulars Validation'!$AY$4</v>
      </c>
      <c r="L41" s="101" t="str">
        <f ca="1">Meals_DuplicateDates</f>
        <v/>
      </c>
      <c r="M41" s="81" t="s">
        <v>348</v>
      </c>
      <c r="N41" s="81" t="s">
        <v>349</v>
      </c>
      <c r="O41" s="81" t="b">
        <v>1</v>
      </c>
      <c r="P41" s="100" t="s">
        <v>350</v>
      </c>
      <c r="Q41" s="100"/>
      <c r="R41" s="102" t="str">
        <f>CONCATENATE(Table_ErrorList[[#This Row],[Details Explanation (Line '#1)]],IF(Table_ErrorList[[#This Row],[Details Explanation (Line '#2)]]&lt;&gt;"",CHAR(10)&amp;Table_ErrorList[[#This Row],[Details Explanation (Line '#2)]],""))</f>
        <v>Adjust the 'Meal Dates' so that each meal date is unique.</v>
      </c>
      <c r="S41" s="81" t="b">
        <v>1</v>
      </c>
      <c r="T41" s="81" t="str">
        <f>IF(LEN(Table_ErrorList[[#This Row],[Message Bar Display]])&gt;$U$5,"Too Long, Characters = "&amp;LEN(Table_ErrorList[[#This Row],[Message Bar Display]])," ")</f>
        <v xml:space="preserve"> </v>
      </c>
      <c r="U41" s="81" t="str">
        <f>IF(LEN(Table_ErrorList[[#This Row],[Details Explanation (Line '#1)]])&gt;$U$5,"Too Long, Characters = "&amp;LEN(Table_ErrorList[[#This Row],[Details Explanation (Line '#1)]])," ")</f>
        <v xml:space="preserve"> </v>
      </c>
      <c r="V41" s="81" t="str">
        <f>IF(LEN(Table_ErrorList[[#This Row],[Details Explanation (Line '#2)]])&gt;$U$5,"Too Long, Characters = "&amp;LEN(Table_ErrorList[[#This Row],[Details Explanation (Line '#2)]])," ")</f>
        <v xml:space="preserve"> </v>
      </c>
    </row>
    <row r="42" spans="1:22" ht="22.5" x14ac:dyDescent="0.25">
      <c r="A42" s="101" t="b">
        <f>AND(COUNTA(Meals_Receipts01)&gt;0,OR(Meals_Date01=0,Meals_Date01=Dropdown_NotSelectedValue,Meals_Date01=""))</f>
        <v>0</v>
      </c>
      <c r="B42" s="101">
        <f ca="1">IFERROR(INDIRECT(Table_ErrorList[[#This Row],[Attention To Named Range]]),"Error")</f>
        <v>0</v>
      </c>
      <c r="C42" s="96">
        <v>400</v>
      </c>
      <c r="D42" s="96" t="str">
        <f ca="1">IF(Table_ErrorList[[#This Row],[Manual Hierarchy]]="",CONCATENATE(TEXT(Table_ErrorList[[#This Row],[Section '#]],"00"),"-",TEXT(COUNTIF($E42:OFFSET(Table_ErrorList[[#Headers],[Section '#]],1,0,1,1),Table_ErrorList[[#This Row],[Section '#]]),"000")),Table_ErrorList[[#This Row],[Manual Hierarchy]])</f>
        <v>06-003</v>
      </c>
      <c r="E42" s="98">
        <v>6</v>
      </c>
      <c r="F42" s="98" t="str">
        <f>IFERROR(VLOOKUP(Table_ErrorList[[#This Row],[Section '#]],Table_SectionNames[],MATCH(Table_SectionNames[[#Headers],[Name]],Table_SectionNames[#Headers],0),FALSE),"Not found")</f>
        <v>Meals</v>
      </c>
      <c r="G42" s="98"/>
      <c r="H42" s="101" t="str">
        <f>IFERROR(VLOOKUP(Table_ErrorList[[#This Row],[Attention To Named Range]],Table_NamedRanges[],MATCH(Table_NamedRanges[[#Headers],[Reference Type]],Table_NamedRanges[#Headers],0),FALSE),"Error")</f>
        <v>Single Cell</v>
      </c>
      <c r="I42" s="96" t="s">
        <v>351</v>
      </c>
      <c r="J42" s="101" t="str">
        <f>IF(Table_ErrorList[[#This Row],[Manual Reference]]="",Table_ErrorList[[#This Row],[''Attention To'' Refence]],Table_ErrorList[[#This Row],[Manual Reference]])&amp;","</f>
        <v>$P$13,</v>
      </c>
      <c r="K42" s="101" t="str">
        <f>SUBSTITUTE(SUBSTITUTE(VLOOKUP(Table_ErrorList[[#This Row],[Attention To Named Range]],Table_NamedRanges[],MATCH(Table_NamedRanges[[#Headers],[Reference Text]],Table_NamedRanges[#Headers],0),FALSE),"=",""),"'Travel Expense Summary'!","")</f>
        <v>$P$13</v>
      </c>
      <c r="L42" s="101"/>
      <c r="M42" s="81" t="s">
        <v>352</v>
      </c>
      <c r="N42" s="81" t="s">
        <v>353</v>
      </c>
      <c r="O42" s="81" t="b">
        <v>1</v>
      </c>
      <c r="P42" s="100" t="s">
        <v>354</v>
      </c>
      <c r="Q42" s="115" t="s">
        <v>355</v>
      </c>
      <c r="R4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2" s="81" t="b">
        <v>1</v>
      </c>
      <c r="T42" s="81" t="str">
        <f>IF(LEN(Table_ErrorList[[#This Row],[Message Bar Display]])&gt;$U$5,"Too Long, Characters = "&amp;LEN(Table_ErrorList[[#This Row],[Message Bar Display]])," ")</f>
        <v xml:space="preserve"> </v>
      </c>
      <c r="U42" s="81" t="str">
        <f>IF(LEN(Table_ErrorList[[#This Row],[Details Explanation (Line '#1)]])&gt;$U$5,"Too Long, Characters = "&amp;LEN(Table_ErrorList[[#This Row],[Details Explanation (Line '#1)]])," ")</f>
        <v xml:space="preserve"> </v>
      </c>
      <c r="V42" s="81" t="str">
        <f>IF(LEN(Table_ErrorList[[#This Row],[Details Explanation (Line '#2)]])&gt;$U$5,"Too Long, Characters = "&amp;LEN(Table_ErrorList[[#This Row],[Details Explanation (Line '#2)]])," ")</f>
        <v xml:space="preserve"> </v>
      </c>
    </row>
    <row r="43" spans="1:22" s="30" customFormat="1" ht="30" x14ac:dyDescent="0.25">
      <c r="A43" s="101" t="b">
        <f>IF(Meals_Date01&gt;0,NOT(AND(Field15_TravelStartDate&lt;=Meals_Date01,Field16_TravelEndDate&gt;=Meals_Date01)),FALSE)</f>
        <v>0</v>
      </c>
      <c r="B43" s="101">
        <f ca="1">IFERROR(INDIRECT(Table_ErrorList[[#This Row],[Attention To Named Range]]),"Error")</f>
        <v>0</v>
      </c>
      <c r="C43" s="96">
        <v>401</v>
      </c>
      <c r="D43" s="96" t="str">
        <f ca="1">IF(Table_ErrorList[[#This Row],[Manual Hierarchy]]="",CONCATENATE(TEXT(Table_ErrorList[[#This Row],[Section '#]],"00"),"-",TEXT(COUNTIF($E43:OFFSET(Table_ErrorList[[#Headers],[Section '#]],1,0,1,1),Table_ErrorList[[#This Row],[Section '#]]),"000")),Table_ErrorList[[#This Row],[Manual Hierarchy]])</f>
        <v>06-004</v>
      </c>
      <c r="E43" s="98">
        <v>6</v>
      </c>
      <c r="F43" s="98" t="str">
        <f>IFERROR(VLOOKUP(Table_ErrorList[[#This Row],[Section '#]],Table_SectionNames[],MATCH(Table_SectionNames[[#Headers],[Name]],Table_SectionNames[#Headers],0),FALSE),"Not found")</f>
        <v>Meals</v>
      </c>
      <c r="G43" s="98"/>
      <c r="H43" s="101" t="str">
        <f>IFERROR(VLOOKUP(Table_ErrorList[[#This Row],[Attention To Named Range]],Table_NamedRanges[],MATCH(Table_NamedRanges[[#Headers],[Reference Type]],Table_NamedRanges[#Headers],0),FALSE),"Error")</f>
        <v>Single Cell</v>
      </c>
      <c r="I43" s="96" t="s">
        <v>351</v>
      </c>
      <c r="J43" s="101" t="str">
        <f>IF(Table_ErrorList[[#This Row],[Manual Reference]]="",Table_ErrorList[[#This Row],[''Attention To'' Refence]],Table_ErrorList[[#This Row],[Manual Reference]])&amp;","</f>
        <v>$P$13,</v>
      </c>
      <c r="K43" s="101" t="str">
        <f>SUBSTITUTE(SUBSTITUTE(VLOOKUP(Table_ErrorList[[#This Row],[Attention To Named Range]],Table_NamedRanges[],MATCH(Table_NamedRanges[[#Headers],[Reference Text]],Table_NamedRanges[#Headers],0),FALSE),"=",""),"'Travel Expense Summary'!","")</f>
        <v>$P$13</v>
      </c>
      <c r="L43" s="101"/>
      <c r="M43" s="81" t="s">
        <v>356</v>
      </c>
      <c r="N43" s="81" t="s">
        <v>357</v>
      </c>
      <c r="O43" s="81" t="b">
        <v>1</v>
      </c>
      <c r="P43" s="100" t="s">
        <v>358</v>
      </c>
      <c r="Q43" s="100" t="s">
        <v>359</v>
      </c>
      <c r="R43" s="102" t="str">
        <f>CONCATENATE(Table_ErrorList[[#This Row],[Details Explanation (Line '#1)]],IF(Table_ErrorList[[#This Row],[Details Explanation (Line '#2)]]&lt;&gt;"",CHAR(10)&amp;Table_ErrorList[[#This Row],[Details Explanation (Line '#2)]],""))</f>
        <v>Select a 'Meal Date' from the in-cell dropdown list.
The 'Meal Date' must be between 'Travel Start Date' and 'Travel End Date'.</v>
      </c>
      <c r="S43" s="81" t="b">
        <v>1</v>
      </c>
      <c r="T43" s="101" t="str">
        <f>IF(LEN(Table_ErrorList[[#This Row],[Message Bar Display]])&gt;$U$5,"Too Long, Characters = "&amp;LEN(Table_ErrorList[[#This Row],[Message Bar Display]])," ")</f>
        <v xml:space="preserve"> </v>
      </c>
      <c r="U43" s="101" t="str">
        <f>IF(LEN(Table_ErrorList[[#This Row],[Details Explanation (Line '#1)]])&gt;$U$5,"Too Long, Characters = "&amp;LEN(Table_ErrorList[[#This Row],[Details Explanation (Line '#1)]])," ")</f>
        <v xml:space="preserve"> </v>
      </c>
      <c r="V43" s="101" t="str">
        <f>IF(LEN(Table_ErrorList[[#This Row],[Details Explanation (Line '#2)]])&gt;$U$5,"Too Long, Characters = "&amp;LEN(Table_ErrorList[[#This Row],[Details Explanation (Line '#2)]])," ")</f>
        <v xml:space="preserve"> </v>
      </c>
    </row>
    <row r="44" spans="1:22" ht="45" x14ac:dyDescent="0.25">
      <c r="A44" s="101" t="b">
        <f>AND(COUNTA(Meals_Date01)&gt;0,COUNTA(Meals_Receipts01)=0)</f>
        <v>0</v>
      </c>
      <c r="B44" s="101" t="str">
        <f ca="1">IFERROR(INDIRECT(Table_ErrorList[[#This Row],[Attention To Named Range]]),"Error")</f>
        <v>Error</v>
      </c>
      <c r="C44" s="96">
        <v>410</v>
      </c>
      <c r="D44" s="96" t="str">
        <f ca="1">IF(Table_ErrorList[[#This Row],[Manual Hierarchy]]="",CONCATENATE(TEXT(Table_ErrorList[[#This Row],[Section '#]],"00"),"-",TEXT(COUNTIF($E44:OFFSET(Table_ErrorList[[#Headers],[Section '#]],1,0,1,1),Table_ErrorList[[#This Row],[Section '#]]),"000")),Table_ErrorList[[#This Row],[Manual Hierarchy]])</f>
        <v>06-005</v>
      </c>
      <c r="E44" s="98">
        <v>6</v>
      </c>
      <c r="F44" s="98" t="str">
        <f>IFERROR(VLOOKUP(Table_ErrorList[[#This Row],[Section '#]],Table_SectionNames[],MATCH(Table_SectionNames[[#Headers],[Name]],Table_SectionNames[#Headers],0),FALSE),"Not found")</f>
        <v>Meals</v>
      </c>
      <c r="G44" s="98"/>
      <c r="H44" s="101" t="str">
        <f>IFERROR(VLOOKUP(Table_ErrorList[[#This Row],[Attention To Named Range]],Table_NamedRanges[],MATCH(Table_NamedRanges[[#Headers],[Reference Type]],Table_NamedRanges[#Headers],0),FALSE),"Error")</f>
        <v>Multiple (Cell or Range)</v>
      </c>
      <c r="I44" s="96" t="s">
        <v>360</v>
      </c>
      <c r="J44" s="101" t="str">
        <f>IF(Table_ErrorList[[#This Row],[Manual Reference]]="",Table_ErrorList[[#This Row],[''Attention To'' Refence]],Table_ErrorList[[#This Row],[Manual Reference]])&amp;","</f>
        <v>$R$13,$S$13,$T$13,</v>
      </c>
      <c r="K44" s="101" t="str">
        <f>SUBSTITUTE(SUBSTITUTE(VLOOKUP(Table_ErrorList[[#This Row],[Attention To Named Range]],Table_NamedRanges[],MATCH(Table_NamedRanges[[#Headers],[Reference Text]],Table_NamedRanges[#Headers],0),FALSE),"=",""),"'Travel Expense Summary'!","")</f>
        <v>$R$13,$S$13,$T$13</v>
      </c>
      <c r="L44" s="101"/>
      <c r="M44" s="81" t="s">
        <v>361</v>
      </c>
      <c r="N44" s="81" t="s">
        <v>362</v>
      </c>
      <c r="O44" s="81" t="b">
        <v>1</v>
      </c>
      <c r="P44" s="100" t="s">
        <v>363</v>
      </c>
      <c r="Q44" s="100" t="s">
        <v>364</v>
      </c>
      <c r="R44"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4" s="81" t="b">
        <v>1</v>
      </c>
      <c r="T44" s="81" t="str">
        <f>IF(LEN(Table_ErrorList[[#This Row],[Message Bar Display]])&gt;$U$5,"Too Long, Characters = "&amp;LEN(Table_ErrorList[[#This Row],[Message Bar Display]])," ")</f>
        <v xml:space="preserve"> </v>
      </c>
      <c r="U44" s="81" t="str">
        <f>IF(LEN(Table_ErrorList[[#This Row],[Details Explanation (Line '#1)]])&gt;$U$5,"Too Long, Characters = "&amp;LEN(Table_ErrorList[[#This Row],[Details Explanation (Line '#1)]])," ")</f>
        <v xml:space="preserve"> </v>
      </c>
      <c r="V44" s="81" t="str">
        <f>IF(LEN(Table_ErrorList[[#This Row],[Details Explanation (Line '#2)]])&gt;$U$5,"Too Long, Characters = "&amp;LEN(Table_ErrorList[[#This Row],[Details Explanation (Line '#2)]])," ")</f>
        <v xml:space="preserve"> </v>
      </c>
    </row>
    <row r="45" spans="1:22" ht="22.5" x14ac:dyDescent="0.25">
      <c r="A45" s="101" t="b">
        <f>AND(COUNTA(Meals_Receipts02)&gt;0,OR(Meals_Date02=0,Meals_Date02=Dropdown_NotSelectedValue,Meals_Date02=""))</f>
        <v>0</v>
      </c>
      <c r="B45" s="101">
        <f ca="1">IFERROR(INDIRECT(Table_ErrorList[[#This Row],[Attention To Named Range]]),"Error")</f>
        <v>0</v>
      </c>
      <c r="C45" s="96">
        <v>420</v>
      </c>
      <c r="D45" s="96" t="str">
        <f ca="1">IF(Table_ErrorList[[#This Row],[Manual Hierarchy]]="",CONCATENATE(TEXT(Table_ErrorList[[#This Row],[Section '#]],"00"),"-",TEXT(COUNTIF($E45:OFFSET(Table_ErrorList[[#Headers],[Section '#]],1,0,1,1),Table_ErrorList[[#This Row],[Section '#]]),"000")),Table_ErrorList[[#This Row],[Manual Hierarchy]])</f>
        <v>06-006</v>
      </c>
      <c r="E45" s="98">
        <v>6</v>
      </c>
      <c r="F45" s="98" t="str">
        <f>IFERROR(VLOOKUP(Table_ErrorList[[#This Row],[Section '#]],Table_SectionNames[],MATCH(Table_SectionNames[[#Headers],[Name]],Table_SectionNames[#Headers],0),FALSE),"Not found")</f>
        <v>Meals</v>
      </c>
      <c r="G45" s="98"/>
      <c r="H45" s="101" t="str">
        <f>IFERROR(VLOOKUP(Table_ErrorList[[#This Row],[Attention To Named Range]],Table_NamedRanges[],MATCH(Table_NamedRanges[[#Headers],[Reference Type]],Table_NamedRanges[#Headers],0),FALSE),"Error")</f>
        <v>Single Cell</v>
      </c>
      <c r="I45" s="96" t="s">
        <v>365</v>
      </c>
      <c r="J45" s="101" t="str">
        <f>IF(Table_ErrorList[[#This Row],[Manual Reference]]="",Table_ErrorList[[#This Row],[''Attention To'' Refence]],Table_ErrorList[[#This Row],[Manual Reference]])&amp;","</f>
        <v>$P$14,</v>
      </c>
      <c r="K45" s="101" t="str">
        <f>SUBSTITUTE(SUBSTITUTE(VLOOKUP(Table_ErrorList[[#This Row],[Attention To Named Range]],Table_NamedRanges[],MATCH(Table_NamedRanges[[#Headers],[Reference Text]],Table_NamedRanges[#Headers],0),FALSE),"=",""),"'Travel Expense Summary'!","")</f>
        <v>$P$14</v>
      </c>
      <c r="L45" s="101"/>
      <c r="M45" s="81" t="s">
        <v>366</v>
      </c>
      <c r="N45" s="81" t="s">
        <v>353</v>
      </c>
      <c r="O45" s="81" t="b">
        <v>1</v>
      </c>
      <c r="P45" s="100" t="s">
        <v>354</v>
      </c>
      <c r="Q45" s="100" t="s">
        <v>355</v>
      </c>
      <c r="R45"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5" s="81" t="b">
        <v>1</v>
      </c>
      <c r="T45" s="81" t="str">
        <f>IF(LEN(Table_ErrorList[[#This Row],[Message Bar Display]])&gt;$U$5,"Too Long, Characters = "&amp;LEN(Table_ErrorList[[#This Row],[Message Bar Display]])," ")</f>
        <v xml:space="preserve"> </v>
      </c>
      <c r="U45" s="81" t="str">
        <f>IF(LEN(Table_ErrorList[[#This Row],[Details Explanation (Line '#1)]])&gt;$U$5,"Too Long, Characters = "&amp;LEN(Table_ErrorList[[#This Row],[Details Explanation (Line '#1)]])," ")</f>
        <v xml:space="preserve"> </v>
      </c>
      <c r="V45" s="81" t="str">
        <f>IF(LEN(Table_ErrorList[[#This Row],[Details Explanation (Line '#2)]])&gt;$U$5,"Too Long, Characters = "&amp;LEN(Table_ErrorList[[#This Row],[Details Explanation (Line '#2)]])," ")</f>
        <v xml:space="preserve"> </v>
      </c>
    </row>
    <row r="46" spans="1:22" s="30" customFormat="1" ht="30" x14ac:dyDescent="0.25">
      <c r="A46" s="101" t="b">
        <f>IF(Meals_Date02&gt;0,NOT(AND(Field15_TravelStartDate&lt;=Meals_Date02,Field16_TravelEndDate&gt;=Meals_Date02)),FALSE)</f>
        <v>0</v>
      </c>
      <c r="B46" s="101">
        <f ca="1">IFERROR(INDIRECT(Table_ErrorList[[#This Row],[Attention To Named Range]]),"Error")</f>
        <v>0</v>
      </c>
      <c r="C46" s="96"/>
      <c r="D46" s="96" t="str">
        <f ca="1">IF(Table_ErrorList[[#This Row],[Manual Hierarchy]]="",CONCATENATE(TEXT(Table_ErrorList[[#This Row],[Section '#]],"00"),"-",TEXT(COUNTIF($E46:OFFSET(Table_ErrorList[[#Headers],[Section '#]],1,0,1,1),Table_ErrorList[[#This Row],[Section '#]]),"000")),Table_ErrorList[[#This Row],[Manual Hierarchy]])</f>
        <v>06-007</v>
      </c>
      <c r="E46" s="98">
        <v>6</v>
      </c>
      <c r="F46" s="98" t="str">
        <f>IFERROR(VLOOKUP(Table_ErrorList[[#This Row],[Section '#]],Table_SectionNames[],MATCH(Table_SectionNames[[#Headers],[Name]],Table_SectionNames[#Headers],0),FALSE),"Not found")</f>
        <v>Meals</v>
      </c>
      <c r="G46" s="98"/>
      <c r="H46" s="101" t="str">
        <f>IFERROR(VLOOKUP(Table_ErrorList[[#This Row],[Attention To Named Range]],Table_NamedRanges[],MATCH(Table_NamedRanges[[#Headers],[Reference Type]],Table_NamedRanges[#Headers],0),FALSE),"Error")</f>
        <v>Single Cell</v>
      </c>
      <c r="I46" s="96" t="s">
        <v>365</v>
      </c>
      <c r="J46" s="101" t="str">
        <f>IF(Table_ErrorList[[#This Row],[Manual Reference]]="",Table_ErrorList[[#This Row],[''Attention To'' Refence]],Table_ErrorList[[#This Row],[Manual Reference]])&amp;","</f>
        <v>$P$14,</v>
      </c>
      <c r="K46" s="101" t="str">
        <f>SUBSTITUTE(SUBSTITUTE(VLOOKUP(Table_ErrorList[[#This Row],[Attention To Named Range]],Table_NamedRanges[],MATCH(Table_NamedRanges[[#Headers],[Reference Text]],Table_NamedRanges[#Headers],0),FALSE),"=",""),"'Travel Expense Summary'!","")</f>
        <v>$P$14</v>
      </c>
      <c r="L46" s="101"/>
      <c r="M46" s="81" t="s">
        <v>367</v>
      </c>
      <c r="N46" s="81" t="s">
        <v>357</v>
      </c>
      <c r="O46" s="81" t="b">
        <v>1</v>
      </c>
      <c r="P46" s="100" t="s">
        <v>358</v>
      </c>
      <c r="Q46" s="100" t="s">
        <v>359</v>
      </c>
      <c r="R46" s="102" t="s">
        <v>368</v>
      </c>
      <c r="S46" s="81" t="b">
        <v>1</v>
      </c>
      <c r="T46" s="101" t="str">
        <f>IF(LEN(Table_ErrorList[[#This Row],[Message Bar Display]])&gt;$U$5,"Too Long, Characters = "&amp;LEN(Table_ErrorList[[#This Row],[Message Bar Display]])," ")</f>
        <v xml:space="preserve"> </v>
      </c>
      <c r="U46" s="101" t="str">
        <f>IF(LEN(Table_ErrorList[[#This Row],[Details Explanation (Line '#1)]])&gt;$U$5,"Too Long, Characters = "&amp;LEN(Table_ErrorList[[#This Row],[Details Explanation (Line '#1)]])," ")</f>
        <v xml:space="preserve"> </v>
      </c>
      <c r="V46" s="101" t="str">
        <f>IF(LEN(Table_ErrorList[[#This Row],[Details Explanation (Line '#2)]])&gt;$U$5,"Too Long, Characters = "&amp;LEN(Table_ErrorList[[#This Row],[Details Explanation (Line '#2)]])," ")</f>
        <v xml:space="preserve"> </v>
      </c>
    </row>
    <row r="47" spans="1:22" ht="45" x14ac:dyDescent="0.25">
      <c r="A47" s="101" t="b">
        <f>AND(COUNTA(Meals_Date02)&gt;0,COUNTA(Meals_Receipts02)=0)</f>
        <v>0</v>
      </c>
      <c r="B47" s="107" t="str">
        <f ca="1">IFERROR(INDIRECT(Table_ErrorList[[#This Row],[Attention To Named Range]]),"Error")</f>
        <v>Error</v>
      </c>
      <c r="C47" s="97">
        <v>430</v>
      </c>
      <c r="D47" s="97" t="str">
        <f ca="1">IF(Table_ErrorList[[#This Row],[Manual Hierarchy]]="",CONCATENATE(TEXT(Table_ErrorList[[#This Row],[Section '#]],"00"),"-",TEXT(COUNTIF($E47:OFFSET(Table_ErrorList[[#Headers],[Section '#]],1,0,1,1),Table_ErrorList[[#This Row],[Section '#]]),"000")),Table_ErrorList[[#This Row],[Manual Hierarchy]])</f>
        <v>06-008</v>
      </c>
      <c r="E47" s="108">
        <v>6</v>
      </c>
      <c r="F47" s="108" t="str">
        <f>IFERROR(VLOOKUP(Table_ErrorList[[#This Row],[Section '#]],Table_SectionNames[],MATCH(Table_SectionNames[[#Headers],[Name]],Table_SectionNames[#Headers],0),FALSE),"Not found")</f>
        <v>Meals</v>
      </c>
      <c r="G47" s="108"/>
      <c r="H47" s="107" t="str">
        <f>IFERROR(VLOOKUP(Table_ErrorList[[#This Row],[Attention To Named Range]],Table_NamedRanges[],MATCH(Table_NamedRanges[[#Headers],[Reference Type]],Table_NamedRanges[#Headers],0),FALSE),"Error")</f>
        <v>Multiple (Cell or Range)</v>
      </c>
      <c r="I47" s="97" t="s">
        <v>369</v>
      </c>
      <c r="J47" s="107" t="str">
        <f>IF(Table_ErrorList[[#This Row],[Manual Reference]]="",Table_ErrorList[[#This Row],[''Attention To'' Refence]],Table_ErrorList[[#This Row],[Manual Reference]])&amp;","</f>
        <v>$R$14,$S$14,$T$14,</v>
      </c>
      <c r="K47" s="107" t="str">
        <f>SUBSTITUTE(SUBSTITUTE(VLOOKUP(Table_ErrorList[[#This Row],[Attention To Named Range]],Table_NamedRanges[],MATCH(Table_NamedRanges[[#Headers],[Reference Text]],Table_NamedRanges[#Headers],0),FALSE),"=",""),"'Travel Expense Summary'!","")</f>
        <v>$R$14,$S$14,$T$14</v>
      </c>
      <c r="L47" s="107"/>
      <c r="M47" s="99" t="s">
        <v>370</v>
      </c>
      <c r="N47" s="81" t="s">
        <v>362</v>
      </c>
      <c r="O47" s="81" t="b">
        <v>1</v>
      </c>
      <c r="P47" s="100" t="s">
        <v>363</v>
      </c>
      <c r="Q47" s="100" t="s">
        <v>364</v>
      </c>
      <c r="R47"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7" s="81" t="b">
        <v>1</v>
      </c>
      <c r="T47" s="81" t="str">
        <f>IF(LEN(Table_ErrorList[[#This Row],[Message Bar Display]])&gt;$U$5,"Too Long, Characters = "&amp;LEN(Table_ErrorList[[#This Row],[Message Bar Display]])," ")</f>
        <v xml:space="preserve"> </v>
      </c>
      <c r="U47" s="81" t="str">
        <f>IF(LEN(Table_ErrorList[[#This Row],[Details Explanation (Line '#1)]])&gt;$U$5,"Too Long, Characters = "&amp;LEN(Table_ErrorList[[#This Row],[Details Explanation (Line '#1)]])," ")</f>
        <v xml:space="preserve"> </v>
      </c>
      <c r="V47" s="81" t="str">
        <f>IF(LEN(Table_ErrorList[[#This Row],[Details Explanation (Line '#2)]])&gt;$U$5,"Too Long, Characters = "&amp;LEN(Table_ErrorList[[#This Row],[Details Explanation (Line '#2)]])," ")</f>
        <v xml:space="preserve"> </v>
      </c>
    </row>
    <row r="48" spans="1:22" ht="22.5" x14ac:dyDescent="0.25">
      <c r="A48" s="101" t="b">
        <f>AND(COUNTA(Meals_Receipts03)&gt;0,OR(Meals_Date03=0,Meals_Date03=Dropdown_NotSelectedValue,Meals_Date03=""))</f>
        <v>0</v>
      </c>
      <c r="B48" s="101">
        <f ca="1">IFERROR(INDIRECT(Table_ErrorList[[#This Row],[Attention To Named Range]]),"Error")</f>
        <v>0</v>
      </c>
      <c r="C48" s="96">
        <v>440</v>
      </c>
      <c r="D48" s="96" t="str">
        <f ca="1">IF(Table_ErrorList[[#This Row],[Manual Hierarchy]]="",CONCATENATE(TEXT(Table_ErrorList[[#This Row],[Section '#]],"00"),"-",TEXT(COUNTIF($E48:OFFSET(Table_ErrorList[[#Headers],[Section '#]],1,0,1,1),Table_ErrorList[[#This Row],[Section '#]]),"000")),Table_ErrorList[[#This Row],[Manual Hierarchy]])</f>
        <v>06-009</v>
      </c>
      <c r="E48" s="98">
        <v>6</v>
      </c>
      <c r="F48" s="98" t="str">
        <f>IFERROR(VLOOKUP(Table_ErrorList[[#This Row],[Section '#]],Table_SectionNames[],MATCH(Table_SectionNames[[#Headers],[Name]],Table_SectionNames[#Headers],0),FALSE),"Not found")</f>
        <v>Meals</v>
      </c>
      <c r="G48" s="98"/>
      <c r="H48" s="101" t="str">
        <f>IFERROR(VLOOKUP(Table_ErrorList[[#This Row],[Attention To Named Range]],Table_NamedRanges[],MATCH(Table_NamedRanges[[#Headers],[Reference Type]],Table_NamedRanges[#Headers],0),FALSE),"Error")</f>
        <v>Single Cell</v>
      </c>
      <c r="I48" s="96" t="s">
        <v>371</v>
      </c>
      <c r="J48" s="101" t="str">
        <f>IF(Table_ErrorList[[#This Row],[Manual Reference]]="",Table_ErrorList[[#This Row],[''Attention To'' Refence]],Table_ErrorList[[#This Row],[Manual Reference]])&amp;","</f>
        <v>$P$15,</v>
      </c>
      <c r="K48" s="101" t="str">
        <f>SUBSTITUTE(SUBSTITUTE(VLOOKUP(Table_ErrorList[[#This Row],[Attention To Named Range]],Table_NamedRanges[],MATCH(Table_NamedRanges[[#Headers],[Reference Text]],Table_NamedRanges[#Headers],0),FALSE),"=",""),"'Travel Expense Summary'!","")</f>
        <v>$P$15</v>
      </c>
      <c r="L48" s="101"/>
      <c r="M48" s="81" t="s">
        <v>372</v>
      </c>
      <c r="N48" s="81" t="s">
        <v>353</v>
      </c>
      <c r="O48" s="81" t="b">
        <v>1</v>
      </c>
      <c r="P48" s="100" t="s">
        <v>354</v>
      </c>
      <c r="Q48" s="100" t="s">
        <v>355</v>
      </c>
      <c r="R48"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8" s="81" t="b">
        <v>1</v>
      </c>
      <c r="T48" s="81" t="str">
        <f>IF(LEN(Table_ErrorList[[#This Row],[Message Bar Display]])&gt;$U$5,"Too Long, Characters = "&amp;LEN(Table_ErrorList[[#This Row],[Message Bar Display]])," ")</f>
        <v xml:space="preserve"> </v>
      </c>
      <c r="U48" s="81" t="str">
        <f>IF(LEN(Table_ErrorList[[#This Row],[Details Explanation (Line '#1)]])&gt;$U$5,"Too Long, Characters = "&amp;LEN(Table_ErrorList[[#This Row],[Details Explanation (Line '#1)]])," ")</f>
        <v xml:space="preserve"> </v>
      </c>
      <c r="V48" s="81" t="str">
        <f>IF(LEN(Table_ErrorList[[#This Row],[Details Explanation (Line '#2)]])&gt;$U$5,"Too Long, Characters = "&amp;LEN(Table_ErrorList[[#This Row],[Details Explanation (Line '#2)]])," ")</f>
        <v xml:space="preserve"> </v>
      </c>
    </row>
    <row r="49" spans="1:22" s="30" customFormat="1" ht="30" x14ac:dyDescent="0.25">
      <c r="A49" s="101" t="b">
        <f>IF(Meals_Date03&gt;0,NOT(AND(Field15_TravelStartDate&lt;=Meals_Date03,Field16_TravelEndDate&gt;=Meals_Date03)),FALSE)</f>
        <v>0</v>
      </c>
      <c r="B49" s="101">
        <f ca="1">IFERROR(INDIRECT(Table_ErrorList[[#This Row],[Attention To Named Range]]),"Error")</f>
        <v>0</v>
      </c>
      <c r="C49" s="96"/>
      <c r="D49" s="96" t="str">
        <f ca="1">IF(Table_ErrorList[[#This Row],[Manual Hierarchy]]="",CONCATENATE(TEXT(Table_ErrorList[[#This Row],[Section '#]],"00"),"-",TEXT(COUNTIF($E49:OFFSET(Table_ErrorList[[#Headers],[Section '#]],1,0,1,1),Table_ErrorList[[#This Row],[Section '#]]),"000")),Table_ErrorList[[#This Row],[Manual Hierarchy]])</f>
        <v>06-010</v>
      </c>
      <c r="E49" s="98">
        <v>6</v>
      </c>
      <c r="F49" s="98" t="str">
        <f>IFERROR(VLOOKUP(Table_ErrorList[[#This Row],[Section '#]],Table_SectionNames[],MATCH(Table_SectionNames[[#Headers],[Name]],Table_SectionNames[#Headers],0),FALSE),"Not found")</f>
        <v>Meals</v>
      </c>
      <c r="G49" s="98"/>
      <c r="H49" s="101" t="str">
        <f>IFERROR(VLOOKUP(Table_ErrorList[[#This Row],[Attention To Named Range]],Table_NamedRanges[],MATCH(Table_NamedRanges[[#Headers],[Reference Type]],Table_NamedRanges[#Headers],0),FALSE),"Error")</f>
        <v>Single Cell</v>
      </c>
      <c r="I49" s="96" t="s">
        <v>371</v>
      </c>
      <c r="J49" s="101" t="str">
        <f>IF(Table_ErrorList[[#This Row],[Manual Reference]]="",Table_ErrorList[[#This Row],[''Attention To'' Refence]],Table_ErrorList[[#This Row],[Manual Reference]])&amp;","</f>
        <v>$P$15,</v>
      </c>
      <c r="K49" s="101" t="str">
        <f>SUBSTITUTE(SUBSTITUTE(VLOOKUP(Table_ErrorList[[#This Row],[Attention To Named Range]],Table_NamedRanges[],MATCH(Table_NamedRanges[[#Headers],[Reference Text]],Table_NamedRanges[#Headers],0),FALSE),"=",""),"'Travel Expense Summary'!","")</f>
        <v>$P$15</v>
      </c>
      <c r="L49" s="101"/>
      <c r="M49" s="81" t="s">
        <v>373</v>
      </c>
      <c r="N49" s="81" t="s">
        <v>357</v>
      </c>
      <c r="O49" s="81" t="b">
        <v>1</v>
      </c>
      <c r="P49" s="100" t="s">
        <v>358</v>
      </c>
      <c r="Q49" s="100" t="s">
        <v>359</v>
      </c>
      <c r="R49" s="102" t="s">
        <v>368</v>
      </c>
      <c r="S49" s="81" t="b">
        <v>1</v>
      </c>
      <c r="T49" s="101" t="str">
        <f>IF(LEN(Table_ErrorList[[#This Row],[Message Bar Display]])&gt;$U$5,"Too Long, Characters = "&amp;LEN(Table_ErrorList[[#This Row],[Message Bar Display]])," ")</f>
        <v xml:space="preserve"> </v>
      </c>
      <c r="U49" s="101" t="str">
        <f>IF(LEN(Table_ErrorList[[#This Row],[Details Explanation (Line '#1)]])&gt;$U$5,"Too Long, Characters = "&amp;LEN(Table_ErrorList[[#This Row],[Details Explanation (Line '#1)]])," ")</f>
        <v xml:space="preserve"> </v>
      </c>
      <c r="V49" s="101" t="str">
        <f>IF(LEN(Table_ErrorList[[#This Row],[Details Explanation (Line '#2)]])&gt;$U$5,"Too Long, Characters = "&amp;LEN(Table_ErrorList[[#This Row],[Details Explanation (Line '#2)]])," ")</f>
        <v xml:space="preserve"> </v>
      </c>
    </row>
    <row r="50" spans="1:22" ht="45" x14ac:dyDescent="0.25">
      <c r="A50" s="101" t="b">
        <f>AND(COUNTA(Meals_Date03)&gt;0,COUNTA(Meals_Receipts03)=0)</f>
        <v>0</v>
      </c>
      <c r="B50" s="107" t="str">
        <f ca="1">IFERROR(INDIRECT(Table_ErrorList[[#This Row],[Attention To Named Range]]),"Error")</f>
        <v>Error</v>
      </c>
      <c r="C50" s="97">
        <v>450</v>
      </c>
      <c r="D50" s="97" t="str">
        <f ca="1">IF(Table_ErrorList[[#This Row],[Manual Hierarchy]]="",CONCATENATE(TEXT(Table_ErrorList[[#This Row],[Section '#]],"00"),"-",TEXT(COUNTIF($E50:OFFSET(Table_ErrorList[[#Headers],[Section '#]],1,0,1,1),Table_ErrorList[[#This Row],[Section '#]]),"000")),Table_ErrorList[[#This Row],[Manual Hierarchy]])</f>
        <v>06-011</v>
      </c>
      <c r="E50" s="108">
        <v>6</v>
      </c>
      <c r="F50" s="108" t="str">
        <f>IFERROR(VLOOKUP(Table_ErrorList[[#This Row],[Section '#]],Table_SectionNames[],MATCH(Table_SectionNames[[#Headers],[Name]],Table_SectionNames[#Headers],0),FALSE),"Not found")</f>
        <v>Meals</v>
      </c>
      <c r="G50" s="108"/>
      <c r="H50" s="107" t="str">
        <f>IFERROR(VLOOKUP(Table_ErrorList[[#This Row],[Attention To Named Range]],Table_NamedRanges[],MATCH(Table_NamedRanges[[#Headers],[Reference Type]],Table_NamedRanges[#Headers],0),FALSE),"Error")</f>
        <v>Multiple (Cell or Range)</v>
      </c>
      <c r="I50" s="97" t="s">
        <v>374</v>
      </c>
      <c r="J50" s="107" t="str">
        <f>IF(Table_ErrorList[[#This Row],[Manual Reference]]="",Table_ErrorList[[#This Row],[''Attention To'' Refence]],Table_ErrorList[[#This Row],[Manual Reference]])&amp;","</f>
        <v>$R$15,$S$15,$T$15,</v>
      </c>
      <c r="K50" s="107" t="str">
        <f>SUBSTITUTE(SUBSTITUTE(VLOOKUP(Table_ErrorList[[#This Row],[Attention To Named Range]],Table_NamedRanges[],MATCH(Table_NamedRanges[[#Headers],[Reference Text]],Table_NamedRanges[#Headers],0),FALSE),"=",""),"'Travel Expense Summary'!","")</f>
        <v>$R$15,$S$15,$T$15</v>
      </c>
      <c r="L50" s="107"/>
      <c r="M50" s="99" t="s">
        <v>375</v>
      </c>
      <c r="N50" s="81" t="s">
        <v>362</v>
      </c>
      <c r="O50" s="81" t="b">
        <v>1</v>
      </c>
      <c r="P50" s="100" t="s">
        <v>363</v>
      </c>
      <c r="Q50" s="100" t="s">
        <v>364</v>
      </c>
      <c r="R50"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0" s="81" t="b">
        <v>1</v>
      </c>
      <c r="T50" s="81" t="str">
        <f>IF(LEN(Table_ErrorList[[#This Row],[Message Bar Display]])&gt;$U$5,"Too Long, Characters = "&amp;LEN(Table_ErrorList[[#This Row],[Message Bar Display]])," ")</f>
        <v xml:space="preserve"> </v>
      </c>
      <c r="U50" s="81" t="str">
        <f>IF(LEN(Table_ErrorList[[#This Row],[Details Explanation (Line '#1)]])&gt;$U$5,"Too Long, Characters = "&amp;LEN(Table_ErrorList[[#This Row],[Details Explanation (Line '#1)]])," ")</f>
        <v xml:space="preserve"> </v>
      </c>
      <c r="V50" s="81" t="str">
        <f>IF(LEN(Table_ErrorList[[#This Row],[Details Explanation (Line '#2)]])&gt;$U$5,"Too Long, Characters = "&amp;LEN(Table_ErrorList[[#This Row],[Details Explanation (Line '#2)]])," ")</f>
        <v xml:space="preserve"> </v>
      </c>
    </row>
    <row r="51" spans="1:22" ht="22.5" x14ac:dyDescent="0.25">
      <c r="A51" s="101" t="b">
        <f>AND(COUNTA(Meals_Receipts04)&gt;0,OR(Meals_Date04=0,Meals_Date04=Dropdown_NotSelectedValue,Meals_Date04=""))</f>
        <v>0</v>
      </c>
      <c r="B51" s="101">
        <f ca="1">IFERROR(INDIRECT(Table_ErrorList[[#This Row],[Attention To Named Range]]),"Error")</f>
        <v>0</v>
      </c>
      <c r="C51" s="96">
        <v>460</v>
      </c>
      <c r="D51" s="96" t="str">
        <f ca="1">IF(Table_ErrorList[[#This Row],[Manual Hierarchy]]="",CONCATENATE(TEXT(Table_ErrorList[[#This Row],[Section '#]],"00"),"-",TEXT(COUNTIF($E51:OFFSET(Table_ErrorList[[#Headers],[Section '#]],1,0,1,1),Table_ErrorList[[#This Row],[Section '#]]),"000")),Table_ErrorList[[#This Row],[Manual Hierarchy]])</f>
        <v>06-012</v>
      </c>
      <c r="E51" s="98">
        <v>6</v>
      </c>
      <c r="F51" s="98" t="str">
        <f>IFERROR(VLOOKUP(Table_ErrorList[[#This Row],[Section '#]],Table_SectionNames[],MATCH(Table_SectionNames[[#Headers],[Name]],Table_SectionNames[#Headers],0),FALSE),"Not found")</f>
        <v>Meals</v>
      </c>
      <c r="G51" s="98"/>
      <c r="H51" s="101" t="str">
        <f>IFERROR(VLOOKUP(Table_ErrorList[[#This Row],[Attention To Named Range]],Table_NamedRanges[],MATCH(Table_NamedRanges[[#Headers],[Reference Type]],Table_NamedRanges[#Headers],0),FALSE),"Error")</f>
        <v>Single Cell</v>
      </c>
      <c r="I51" s="96" t="s">
        <v>376</v>
      </c>
      <c r="J51" s="101" t="str">
        <f>IF(Table_ErrorList[[#This Row],[Manual Reference]]="",Table_ErrorList[[#This Row],[''Attention To'' Refence]],Table_ErrorList[[#This Row],[Manual Reference]])&amp;","</f>
        <v>$P$16,</v>
      </c>
      <c r="K51" s="101" t="str">
        <f>SUBSTITUTE(SUBSTITUTE(VLOOKUP(Table_ErrorList[[#This Row],[Attention To Named Range]],Table_NamedRanges[],MATCH(Table_NamedRanges[[#Headers],[Reference Text]],Table_NamedRanges[#Headers],0),FALSE),"=",""),"'Travel Expense Summary'!","")</f>
        <v>$P$16</v>
      </c>
      <c r="L51" s="101"/>
      <c r="M51" s="81" t="s">
        <v>377</v>
      </c>
      <c r="N51" s="81" t="s">
        <v>353</v>
      </c>
      <c r="O51" s="81" t="b">
        <v>1</v>
      </c>
      <c r="P51" s="100" t="s">
        <v>354</v>
      </c>
      <c r="Q51" s="100" t="s">
        <v>355</v>
      </c>
      <c r="R51"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1" s="81" t="b">
        <v>1</v>
      </c>
      <c r="T51" s="81" t="str">
        <f>IF(LEN(Table_ErrorList[[#This Row],[Message Bar Display]])&gt;$U$5,"Too Long, Characters = "&amp;LEN(Table_ErrorList[[#This Row],[Message Bar Display]])," ")</f>
        <v xml:space="preserve"> </v>
      </c>
      <c r="U51" s="81" t="str">
        <f>IF(LEN(Table_ErrorList[[#This Row],[Details Explanation (Line '#1)]])&gt;$U$5,"Too Long, Characters = "&amp;LEN(Table_ErrorList[[#This Row],[Details Explanation (Line '#1)]])," ")</f>
        <v xml:space="preserve"> </v>
      </c>
      <c r="V51" s="81" t="str">
        <f>IF(LEN(Table_ErrorList[[#This Row],[Details Explanation (Line '#2)]])&gt;$U$5,"Too Long, Characters = "&amp;LEN(Table_ErrorList[[#This Row],[Details Explanation (Line '#2)]])," ")</f>
        <v xml:space="preserve"> </v>
      </c>
    </row>
    <row r="52" spans="1:22" s="30" customFormat="1" ht="30" x14ac:dyDescent="0.25">
      <c r="A52" s="101" t="b">
        <f>IF(Meals_Date04&gt;0,NOT(AND(Field15_TravelStartDate&lt;=Meals_Date04,Field16_TravelEndDate&gt;=Meals_Date04)),FALSE)</f>
        <v>0</v>
      </c>
      <c r="B52" s="101">
        <f ca="1">IFERROR(INDIRECT(Table_ErrorList[[#This Row],[Attention To Named Range]]),"Error")</f>
        <v>0</v>
      </c>
      <c r="C52" s="96">
        <v>461</v>
      </c>
      <c r="D52" s="96" t="str">
        <f ca="1">IF(Table_ErrorList[[#This Row],[Manual Hierarchy]]="",CONCATENATE(TEXT(Table_ErrorList[[#This Row],[Section '#]],"00"),"-",TEXT(COUNTIF($E52:OFFSET(Table_ErrorList[[#Headers],[Section '#]],1,0,1,1),Table_ErrorList[[#This Row],[Section '#]]),"000")),Table_ErrorList[[#This Row],[Manual Hierarchy]])</f>
        <v>06-013</v>
      </c>
      <c r="E52" s="98">
        <v>6</v>
      </c>
      <c r="F52" s="98" t="str">
        <f>IFERROR(VLOOKUP(Table_ErrorList[[#This Row],[Section '#]],Table_SectionNames[],MATCH(Table_SectionNames[[#Headers],[Name]],Table_SectionNames[#Headers],0),FALSE),"Not found")</f>
        <v>Meals</v>
      </c>
      <c r="G52" s="98"/>
      <c r="H52" s="101" t="str">
        <f>IFERROR(VLOOKUP(Table_ErrorList[[#This Row],[Attention To Named Range]],Table_NamedRanges[],MATCH(Table_NamedRanges[[#Headers],[Reference Type]],Table_NamedRanges[#Headers],0),FALSE),"Error")</f>
        <v>Single Cell</v>
      </c>
      <c r="I52" s="96" t="s">
        <v>376</v>
      </c>
      <c r="J52" s="101" t="str">
        <f>IF(Table_ErrorList[[#This Row],[Manual Reference]]="",Table_ErrorList[[#This Row],[''Attention To'' Refence]],Table_ErrorList[[#This Row],[Manual Reference]])&amp;","</f>
        <v>$P$16,</v>
      </c>
      <c r="K52" s="101" t="str">
        <f>SUBSTITUTE(SUBSTITUTE(VLOOKUP(Table_ErrorList[[#This Row],[Attention To Named Range]],Table_NamedRanges[],MATCH(Table_NamedRanges[[#Headers],[Reference Text]],Table_NamedRanges[#Headers],0),FALSE),"=",""),"'Travel Expense Summary'!","")</f>
        <v>$P$16</v>
      </c>
      <c r="L52" s="101"/>
      <c r="M52" s="81" t="s">
        <v>378</v>
      </c>
      <c r="N52" s="81" t="s">
        <v>357</v>
      </c>
      <c r="O52" s="81" t="b">
        <v>1</v>
      </c>
      <c r="P52" s="100" t="s">
        <v>358</v>
      </c>
      <c r="Q52" s="100" t="s">
        <v>359</v>
      </c>
      <c r="R52" s="102" t="s">
        <v>368</v>
      </c>
      <c r="S52" s="81" t="b">
        <v>1</v>
      </c>
      <c r="T52" s="101" t="str">
        <f>IF(LEN(Table_ErrorList[[#This Row],[Message Bar Display]])&gt;$U$5,"Too Long, Characters = "&amp;LEN(Table_ErrorList[[#This Row],[Message Bar Display]])," ")</f>
        <v xml:space="preserve"> </v>
      </c>
      <c r="U52" s="101" t="str">
        <f>IF(LEN(Table_ErrorList[[#This Row],[Details Explanation (Line '#1)]])&gt;$U$5,"Too Long, Characters = "&amp;LEN(Table_ErrorList[[#This Row],[Details Explanation (Line '#1)]])," ")</f>
        <v xml:space="preserve"> </v>
      </c>
      <c r="V52" s="101" t="str">
        <f>IF(LEN(Table_ErrorList[[#This Row],[Details Explanation (Line '#2)]])&gt;$U$5,"Too Long, Characters = "&amp;LEN(Table_ErrorList[[#This Row],[Details Explanation (Line '#2)]])," ")</f>
        <v xml:space="preserve"> </v>
      </c>
    </row>
    <row r="53" spans="1:22" ht="45" x14ac:dyDescent="0.25">
      <c r="A53" s="101" t="b">
        <f>AND(COUNTA(Meals_Date04)&gt;0,COUNTA(Meals_Receipts04)=0)</f>
        <v>0</v>
      </c>
      <c r="B53" s="107" t="str">
        <f ca="1">IFERROR(INDIRECT(Table_ErrorList[[#This Row],[Attention To Named Range]]),"Error")</f>
        <v>Error</v>
      </c>
      <c r="C53" s="97">
        <v>470</v>
      </c>
      <c r="D53" s="97" t="str">
        <f ca="1">IF(Table_ErrorList[[#This Row],[Manual Hierarchy]]="",CONCATENATE(TEXT(Table_ErrorList[[#This Row],[Section '#]],"00"),"-",TEXT(COUNTIF($E53:OFFSET(Table_ErrorList[[#Headers],[Section '#]],1,0,1,1),Table_ErrorList[[#This Row],[Section '#]]),"000")),Table_ErrorList[[#This Row],[Manual Hierarchy]])</f>
        <v>06-014</v>
      </c>
      <c r="E53" s="108">
        <v>6</v>
      </c>
      <c r="F53" s="108" t="str">
        <f>IFERROR(VLOOKUP(Table_ErrorList[[#This Row],[Section '#]],Table_SectionNames[],MATCH(Table_SectionNames[[#Headers],[Name]],Table_SectionNames[#Headers],0),FALSE),"Not found")</f>
        <v>Meals</v>
      </c>
      <c r="G53" s="108"/>
      <c r="H53" s="107" t="str">
        <f>IFERROR(VLOOKUP(Table_ErrorList[[#This Row],[Attention To Named Range]],Table_NamedRanges[],MATCH(Table_NamedRanges[[#Headers],[Reference Type]],Table_NamedRanges[#Headers],0),FALSE),"Error")</f>
        <v>Multiple (Cell or Range)</v>
      </c>
      <c r="I53" s="97" t="s">
        <v>379</v>
      </c>
      <c r="J53" s="107" t="str">
        <f>IF(Table_ErrorList[[#This Row],[Manual Reference]]="",Table_ErrorList[[#This Row],[''Attention To'' Refence]],Table_ErrorList[[#This Row],[Manual Reference]])&amp;","</f>
        <v>$R$16,$S$16,$T$16,</v>
      </c>
      <c r="K53" s="107" t="str">
        <f>SUBSTITUTE(SUBSTITUTE(VLOOKUP(Table_ErrorList[[#This Row],[Attention To Named Range]],Table_NamedRanges[],MATCH(Table_NamedRanges[[#Headers],[Reference Text]],Table_NamedRanges[#Headers],0),FALSE),"=",""),"'Travel Expense Summary'!","")</f>
        <v>$R$16,$S$16,$T$16</v>
      </c>
      <c r="L53" s="107"/>
      <c r="M53" s="99" t="s">
        <v>380</v>
      </c>
      <c r="N53" s="81" t="s">
        <v>362</v>
      </c>
      <c r="O53" s="81" t="b">
        <v>1</v>
      </c>
      <c r="P53" s="100" t="s">
        <v>363</v>
      </c>
      <c r="Q53" s="100" t="s">
        <v>364</v>
      </c>
      <c r="R53"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3" s="81" t="b">
        <v>1</v>
      </c>
      <c r="T53" s="81" t="str">
        <f>IF(LEN(Table_ErrorList[[#This Row],[Message Bar Display]])&gt;$U$5,"Too Long, Characters = "&amp;LEN(Table_ErrorList[[#This Row],[Message Bar Display]])," ")</f>
        <v xml:space="preserve"> </v>
      </c>
      <c r="U53" s="81" t="str">
        <f>IF(LEN(Table_ErrorList[[#This Row],[Details Explanation (Line '#1)]])&gt;$U$5,"Too Long, Characters = "&amp;LEN(Table_ErrorList[[#This Row],[Details Explanation (Line '#1)]])," ")</f>
        <v xml:space="preserve"> </v>
      </c>
      <c r="V53" s="81" t="str">
        <f>IF(LEN(Table_ErrorList[[#This Row],[Details Explanation (Line '#2)]])&gt;$U$5,"Too Long, Characters = "&amp;LEN(Table_ErrorList[[#This Row],[Details Explanation (Line '#2)]])," ")</f>
        <v xml:space="preserve"> </v>
      </c>
    </row>
    <row r="54" spans="1:22" ht="22.5" x14ac:dyDescent="0.25">
      <c r="A54" s="101" t="b">
        <f>AND(COUNTA(Meals_Receipts05)&gt;0,OR(Meals_Date05=0,Meals_Date05=Dropdown_NotSelectedValue,Meals_Date05=""))</f>
        <v>0</v>
      </c>
      <c r="B54" s="101">
        <f ca="1">IFERROR(INDIRECT(Table_ErrorList[[#This Row],[Attention To Named Range]]),"Error")</f>
        <v>0</v>
      </c>
      <c r="C54" s="96">
        <v>480</v>
      </c>
      <c r="D54" s="96" t="str">
        <f ca="1">IF(Table_ErrorList[[#This Row],[Manual Hierarchy]]="",CONCATENATE(TEXT(Table_ErrorList[[#This Row],[Section '#]],"00"),"-",TEXT(COUNTIF($E54:OFFSET(Table_ErrorList[[#Headers],[Section '#]],1,0,1,1),Table_ErrorList[[#This Row],[Section '#]]),"000")),Table_ErrorList[[#This Row],[Manual Hierarchy]])</f>
        <v>06-015</v>
      </c>
      <c r="E54" s="98">
        <v>6</v>
      </c>
      <c r="F54" s="98" t="str">
        <f>IFERROR(VLOOKUP(Table_ErrorList[[#This Row],[Section '#]],Table_SectionNames[],MATCH(Table_SectionNames[[#Headers],[Name]],Table_SectionNames[#Headers],0),FALSE),"Not found")</f>
        <v>Meals</v>
      </c>
      <c r="G54" s="98"/>
      <c r="H54" s="101" t="str">
        <f>IFERROR(VLOOKUP(Table_ErrorList[[#This Row],[Attention To Named Range]],Table_NamedRanges[],MATCH(Table_NamedRanges[[#Headers],[Reference Type]],Table_NamedRanges[#Headers],0),FALSE),"Error")</f>
        <v>Single Cell</v>
      </c>
      <c r="I54" s="96" t="s">
        <v>381</v>
      </c>
      <c r="J54" s="101" t="str">
        <f>IF(Table_ErrorList[[#This Row],[Manual Reference]]="",Table_ErrorList[[#This Row],[''Attention To'' Refence]],Table_ErrorList[[#This Row],[Manual Reference]])&amp;","</f>
        <v>$P$17,</v>
      </c>
      <c r="K54" s="101" t="str">
        <f>SUBSTITUTE(SUBSTITUTE(VLOOKUP(Table_ErrorList[[#This Row],[Attention To Named Range]],Table_NamedRanges[],MATCH(Table_NamedRanges[[#Headers],[Reference Text]],Table_NamedRanges[#Headers],0),FALSE),"=",""),"'Travel Expense Summary'!","")</f>
        <v>$P$17</v>
      </c>
      <c r="L54" s="101"/>
      <c r="M54" s="81" t="s">
        <v>382</v>
      </c>
      <c r="N54" s="81" t="s">
        <v>353</v>
      </c>
      <c r="O54" s="81" t="b">
        <v>1</v>
      </c>
      <c r="P54" s="100" t="s">
        <v>354</v>
      </c>
      <c r="Q54" s="100" t="s">
        <v>355</v>
      </c>
      <c r="R54"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4" s="81" t="b">
        <v>1</v>
      </c>
      <c r="T54" s="81" t="str">
        <f>IF(LEN(Table_ErrorList[[#This Row],[Message Bar Display]])&gt;$U$5,"Too Long, Characters = "&amp;LEN(Table_ErrorList[[#This Row],[Message Bar Display]])," ")</f>
        <v xml:space="preserve"> </v>
      </c>
      <c r="U54" s="81" t="str">
        <f>IF(LEN(Table_ErrorList[[#This Row],[Details Explanation (Line '#1)]])&gt;$U$5,"Too Long, Characters = "&amp;LEN(Table_ErrorList[[#This Row],[Details Explanation (Line '#1)]])," ")</f>
        <v xml:space="preserve"> </v>
      </c>
      <c r="V54" s="81" t="str">
        <f>IF(LEN(Table_ErrorList[[#This Row],[Details Explanation (Line '#2)]])&gt;$U$5,"Too Long, Characters = "&amp;LEN(Table_ErrorList[[#This Row],[Details Explanation (Line '#2)]])," ")</f>
        <v xml:space="preserve"> </v>
      </c>
    </row>
    <row r="55" spans="1:22" s="30" customFormat="1" ht="30" x14ac:dyDescent="0.25">
      <c r="A55" s="101" t="b">
        <f>IF(Meals_Date05&gt;0,NOT(AND(Field15_TravelStartDate&lt;=Meals_Date05,Field16_TravelEndDate&gt;=Meals_Date05)),FALSE)</f>
        <v>0</v>
      </c>
      <c r="B55" s="101">
        <f ca="1">IFERROR(INDIRECT(Table_ErrorList[[#This Row],[Attention To Named Range]]),"Error")</f>
        <v>0</v>
      </c>
      <c r="C55" s="96">
        <v>481</v>
      </c>
      <c r="D55" s="96" t="str">
        <f ca="1">IF(Table_ErrorList[[#This Row],[Manual Hierarchy]]="",CONCATENATE(TEXT(Table_ErrorList[[#This Row],[Section '#]],"00"),"-",TEXT(COUNTIF($E55:OFFSET(Table_ErrorList[[#Headers],[Section '#]],1,0,1,1),Table_ErrorList[[#This Row],[Section '#]]),"000")),Table_ErrorList[[#This Row],[Manual Hierarchy]])</f>
        <v>06-016</v>
      </c>
      <c r="E55" s="98">
        <v>6</v>
      </c>
      <c r="F55" s="98" t="str">
        <f>IFERROR(VLOOKUP(Table_ErrorList[[#This Row],[Section '#]],Table_SectionNames[],MATCH(Table_SectionNames[[#Headers],[Name]],Table_SectionNames[#Headers],0),FALSE),"Not found")</f>
        <v>Meals</v>
      </c>
      <c r="G55" s="98"/>
      <c r="H55" s="101" t="str">
        <f>IFERROR(VLOOKUP(Table_ErrorList[[#This Row],[Attention To Named Range]],Table_NamedRanges[],MATCH(Table_NamedRanges[[#Headers],[Reference Type]],Table_NamedRanges[#Headers],0),FALSE),"Error")</f>
        <v>Single Cell</v>
      </c>
      <c r="I55" s="96" t="s">
        <v>381</v>
      </c>
      <c r="J55" s="101" t="str">
        <f>IF(Table_ErrorList[[#This Row],[Manual Reference]]="",Table_ErrorList[[#This Row],[''Attention To'' Refence]],Table_ErrorList[[#This Row],[Manual Reference]])&amp;","</f>
        <v>$P$17,</v>
      </c>
      <c r="K55" s="101" t="str">
        <f>SUBSTITUTE(SUBSTITUTE(VLOOKUP(Table_ErrorList[[#This Row],[Attention To Named Range]],Table_NamedRanges[],MATCH(Table_NamedRanges[[#Headers],[Reference Text]],Table_NamedRanges[#Headers],0),FALSE),"=",""),"'Travel Expense Summary'!","")</f>
        <v>$P$17</v>
      </c>
      <c r="L55" s="101"/>
      <c r="M55" s="81" t="s">
        <v>383</v>
      </c>
      <c r="N55" s="81" t="s">
        <v>357</v>
      </c>
      <c r="O55" s="81" t="b">
        <v>1</v>
      </c>
      <c r="P55" s="100" t="s">
        <v>358</v>
      </c>
      <c r="Q55" s="100" t="s">
        <v>359</v>
      </c>
      <c r="R55" s="102" t="s">
        <v>368</v>
      </c>
      <c r="S55" s="81" t="b">
        <v>1</v>
      </c>
      <c r="T55" s="101" t="str">
        <f>IF(LEN(Table_ErrorList[[#This Row],[Message Bar Display]])&gt;$U$5,"Too Long, Characters = "&amp;LEN(Table_ErrorList[[#This Row],[Message Bar Display]])," ")</f>
        <v xml:space="preserve"> </v>
      </c>
      <c r="U55" s="101" t="str">
        <f>IF(LEN(Table_ErrorList[[#This Row],[Details Explanation (Line '#1)]])&gt;$U$5,"Too Long, Characters = "&amp;LEN(Table_ErrorList[[#This Row],[Details Explanation (Line '#1)]])," ")</f>
        <v xml:space="preserve"> </v>
      </c>
      <c r="V55" s="101" t="str">
        <f>IF(LEN(Table_ErrorList[[#This Row],[Details Explanation (Line '#2)]])&gt;$U$5,"Too Long, Characters = "&amp;LEN(Table_ErrorList[[#This Row],[Details Explanation (Line '#2)]])," ")</f>
        <v xml:space="preserve"> </v>
      </c>
    </row>
    <row r="56" spans="1:22" ht="45" x14ac:dyDescent="0.25">
      <c r="A56" s="101" t="b">
        <f>AND(COUNTA(Meals_Date05)&gt;0,COUNTA(Meals_Receipts05)=0)</f>
        <v>0</v>
      </c>
      <c r="B56" s="107" t="str">
        <f ca="1">IFERROR(INDIRECT(Table_ErrorList[[#This Row],[Attention To Named Range]]),"Error")</f>
        <v>Error</v>
      </c>
      <c r="C56" s="97">
        <v>490</v>
      </c>
      <c r="D56" s="97" t="str">
        <f ca="1">IF(Table_ErrorList[[#This Row],[Manual Hierarchy]]="",CONCATENATE(TEXT(Table_ErrorList[[#This Row],[Section '#]],"00"),"-",TEXT(COUNTIF($E56:OFFSET(Table_ErrorList[[#Headers],[Section '#]],1,0,1,1),Table_ErrorList[[#This Row],[Section '#]]),"000")),Table_ErrorList[[#This Row],[Manual Hierarchy]])</f>
        <v>06-017</v>
      </c>
      <c r="E56" s="108">
        <v>6</v>
      </c>
      <c r="F56" s="108" t="str">
        <f>IFERROR(VLOOKUP(Table_ErrorList[[#This Row],[Section '#]],Table_SectionNames[],MATCH(Table_SectionNames[[#Headers],[Name]],Table_SectionNames[#Headers],0),FALSE),"Not found")</f>
        <v>Meals</v>
      </c>
      <c r="G56" s="108"/>
      <c r="H56" s="107" t="str">
        <f>IFERROR(VLOOKUP(Table_ErrorList[[#This Row],[Attention To Named Range]],Table_NamedRanges[],MATCH(Table_NamedRanges[[#Headers],[Reference Type]],Table_NamedRanges[#Headers],0),FALSE),"Error")</f>
        <v>Multiple (Cell or Range)</v>
      </c>
      <c r="I56" s="97" t="s">
        <v>384</v>
      </c>
      <c r="J56" s="107" t="str">
        <f>IF(Table_ErrorList[[#This Row],[Manual Reference]]="",Table_ErrorList[[#This Row],[''Attention To'' Refence]],Table_ErrorList[[#This Row],[Manual Reference]])&amp;","</f>
        <v>$R$17,$S$17,$T$17,</v>
      </c>
      <c r="K56" s="107" t="str">
        <f>SUBSTITUTE(SUBSTITUTE(VLOOKUP(Table_ErrorList[[#This Row],[Attention To Named Range]],Table_NamedRanges[],MATCH(Table_NamedRanges[[#Headers],[Reference Text]],Table_NamedRanges[#Headers],0),FALSE),"=",""),"'Travel Expense Summary'!","")</f>
        <v>$R$17,$S$17,$T$17</v>
      </c>
      <c r="L56" s="107"/>
      <c r="M56" s="99" t="s">
        <v>385</v>
      </c>
      <c r="N56" s="81" t="s">
        <v>362</v>
      </c>
      <c r="O56" s="81" t="b">
        <v>1</v>
      </c>
      <c r="P56" s="100" t="s">
        <v>363</v>
      </c>
      <c r="Q56" s="100" t="s">
        <v>364</v>
      </c>
      <c r="R56"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6" s="81" t="b">
        <v>1</v>
      </c>
      <c r="T56" s="81" t="str">
        <f>IF(LEN(Table_ErrorList[[#This Row],[Message Bar Display]])&gt;$U$5,"Too Long, Characters = "&amp;LEN(Table_ErrorList[[#This Row],[Message Bar Display]])," ")</f>
        <v xml:space="preserve"> </v>
      </c>
      <c r="U56" s="81" t="str">
        <f>IF(LEN(Table_ErrorList[[#This Row],[Details Explanation (Line '#1)]])&gt;$U$5,"Too Long, Characters = "&amp;LEN(Table_ErrorList[[#This Row],[Details Explanation (Line '#1)]])," ")</f>
        <v xml:space="preserve"> </v>
      </c>
      <c r="V56" s="81" t="str">
        <f>IF(LEN(Table_ErrorList[[#This Row],[Details Explanation (Line '#2)]])&gt;$U$5,"Too Long, Characters = "&amp;LEN(Table_ErrorList[[#This Row],[Details Explanation (Line '#2)]])," ")</f>
        <v xml:space="preserve"> </v>
      </c>
    </row>
    <row r="57" spans="1:22" ht="22.5" x14ac:dyDescent="0.25">
      <c r="A57" s="101" t="b">
        <f>AND(COUNTA(Meals_Receipts06)&gt;0,OR(Meals_Date06=0,Meals_Date06=Dropdown_NotSelectedValue,Meals_Date06=""))</f>
        <v>0</v>
      </c>
      <c r="B57" s="101">
        <f ca="1">IFERROR(INDIRECT(Table_ErrorList[[#This Row],[Attention To Named Range]]),"Error")</f>
        <v>0</v>
      </c>
      <c r="C57" s="96">
        <v>500</v>
      </c>
      <c r="D57" s="96" t="str">
        <f ca="1">IF(Table_ErrorList[[#This Row],[Manual Hierarchy]]="",CONCATENATE(TEXT(Table_ErrorList[[#This Row],[Section '#]],"00"),"-",TEXT(COUNTIF($E57:OFFSET(Table_ErrorList[[#Headers],[Section '#]],1,0,1,1),Table_ErrorList[[#This Row],[Section '#]]),"000")),Table_ErrorList[[#This Row],[Manual Hierarchy]])</f>
        <v>06-018</v>
      </c>
      <c r="E57" s="98">
        <v>6</v>
      </c>
      <c r="F57" s="98" t="str">
        <f>IFERROR(VLOOKUP(Table_ErrorList[[#This Row],[Section '#]],Table_SectionNames[],MATCH(Table_SectionNames[[#Headers],[Name]],Table_SectionNames[#Headers],0),FALSE),"Not found")</f>
        <v>Meals</v>
      </c>
      <c r="G57" s="98"/>
      <c r="H57" s="101" t="str">
        <f>IFERROR(VLOOKUP(Table_ErrorList[[#This Row],[Attention To Named Range]],Table_NamedRanges[],MATCH(Table_NamedRanges[[#Headers],[Reference Type]],Table_NamedRanges[#Headers],0),FALSE),"Error")</f>
        <v>Single Cell</v>
      </c>
      <c r="I57" s="96" t="s">
        <v>386</v>
      </c>
      <c r="J57" s="101" t="str">
        <f>IF(Table_ErrorList[[#This Row],[Manual Reference]]="",Table_ErrorList[[#This Row],[''Attention To'' Refence]],Table_ErrorList[[#This Row],[Manual Reference]])&amp;","</f>
        <v>$P$18,</v>
      </c>
      <c r="K57" s="101" t="str">
        <f>SUBSTITUTE(SUBSTITUTE(VLOOKUP(Table_ErrorList[[#This Row],[Attention To Named Range]],Table_NamedRanges[],MATCH(Table_NamedRanges[[#Headers],[Reference Text]],Table_NamedRanges[#Headers],0),FALSE),"=",""),"'Travel Expense Summary'!","")</f>
        <v>$P$18</v>
      </c>
      <c r="L57" s="101"/>
      <c r="M57" s="81" t="s">
        <v>387</v>
      </c>
      <c r="N57" s="81" t="s">
        <v>353</v>
      </c>
      <c r="O57" s="81" t="b">
        <v>1</v>
      </c>
      <c r="P57" s="100" t="s">
        <v>354</v>
      </c>
      <c r="Q57" s="100" t="s">
        <v>355</v>
      </c>
      <c r="R57"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7" s="81" t="b">
        <v>1</v>
      </c>
      <c r="T57" s="81" t="str">
        <f>IF(LEN(Table_ErrorList[[#This Row],[Message Bar Display]])&gt;$U$5,"Too Long, Characters = "&amp;LEN(Table_ErrorList[[#This Row],[Message Bar Display]])," ")</f>
        <v xml:space="preserve"> </v>
      </c>
      <c r="U57" s="81" t="str">
        <f>IF(LEN(Table_ErrorList[[#This Row],[Details Explanation (Line '#1)]])&gt;$U$5,"Too Long, Characters = "&amp;LEN(Table_ErrorList[[#This Row],[Details Explanation (Line '#1)]])," ")</f>
        <v xml:space="preserve"> </v>
      </c>
      <c r="V57" s="81" t="str">
        <f>IF(LEN(Table_ErrorList[[#This Row],[Details Explanation (Line '#2)]])&gt;$U$5,"Too Long, Characters = "&amp;LEN(Table_ErrorList[[#This Row],[Details Explanation (Line '#2)]])," ")</f>
        <v xml:space="preserve"> </v>
      </c>
    </row>
    <row r="58" spans="1:22" s="30" customFormat="1" ht="30" x14ac:dyDescent="0.25">
      <c r="A58" s="101" t="b">
        <f>IF(Meals_Date06&gt;0,NOT(AND(Field15_TravelStartDate&lt;=Meals_Date06,Field16_TravelEndDate&gt;=Meals_Date06)),FALSE)</f>
        <v>0</v>
      </c>
      <c r="B58" s="101">
        <f ca="1">IFERROR(INDIRECT(Table_ErrorList[[#This Row],[Attention To Named Range]]),"Error")</f>
        <v>0</v>
      </c>
      <c r="C58" s="96">
        <v>501</v>
      </c>
      <c r="D58" s="96" t="str">
        <f ca="1">IF(Table_ErrorList[[#This Row],[Manual Hierarchy]]="",CONCATENATE(TEXT(Table_ErrorList[[#This Row],[Section '#]],"00"),"-",TEXT(COUNTIF($E58:OFFSET(Table_ErrorList[[#Headers],[Section '#]],1,0,1,1),Table_ErrorList[[#This Row],[Section '#]]),"000")),Table_ErrorList[[#This Row],[Manual Hierarchy]])</f>
        <v>06-019</v>
      </c>
      <c r="E58" s="98">
        <v>6</v>
      </c>
      <c r="F58" s="98" t="str">
        <f>IFERROR(VLOOKUP(Table_ErrorList[[#This Row],[Section '#]],Table_SectionNames[],MATCH(Table_SectionNames[[#Headers],[Name]],Table_SectionNames[#Headers],0),FALSE),"Not found")</f>
        <v>Meals</v>
      </c>
      <c r="G58" s="98"/>
      <c r="H58" s="101" t="str">
        <f>IFERROR(VLOOKUP(Table_ErrorList[[#This Row],[Attention To Named Range]],Table_NamedRanges[],MATCH(Table_NamedRanges[[#Headers],[Reference Type]],Table_NamedRanges[#Headers],0),FALSE),"Error")</f>
        <v>Single Cell</v>
      </c>
      <c r="I58" s="96" t="s">
        <v>386</v>
      </c>
      <c r="J58" s="101" t="str">
        <f>IF(Table_ErrorList[[#This Row],[Manual Reference]]="",Table_ErrorList[[#This Row],[''Attention To'' Refence]],Table_ErrorList[[#This Row],[Manual Reference]])&amp;","</f>
        <v>$P$18,</v>
      </c>
      <c r="K58" s="101" t="str">
        <f>SUBSTITUTE(SUBSTITUTE(VLOOKUP(Table_ErrorList[[#This Row],[Attention To Named Range]],Table_NamedRanges[],MATCH(Table_NamedRanges[[#Headers],[Reference Text]],Table_NamedRanges[#Headers],0),FALSE),"=",""),"'Travel Expense Summary'!","")</f>
        <v>$P$18</v>
      </c>
      <c r="L58" s="101"/>
      <c r="M58" s="81" t="s">
        <v>388</v>
      </c>
      <c r="N58" s="81" t="s">
        <v>357</v>
      </c>
      <c r="O58" s="81" t="b">
        <v>1</v>
      </c>
      <c r="P58" s="100" t="s">
        <v>358</v>
      </c>
      <c r="Q58" s="100" t="s">
        <v>359</v>
      </c>
      <c r="R58" s="102" t="s">
        <v>368</v>
      </c>
      <c r="S58" s="81" t="b">
        <v>1</v>
      </c>
      <c r="T58" s="101" t="str">
        <f>IF(LEN(Table_ErrorList[[#This Row],[Message Bar Display]])&gt;$U$5,"Too Long, Characters = "&amp;LEN(Table_ErrorList[[#This Row],[Message Bar Display]])," ")</f>
        <v xml:space="preserve"> </v>
      </c>
      <c r="U58" s="101" t="str">
        <f>IF(LEN(Table_ErrorList[[#This Row],[Details Explanation (Line '#1)]])&gt;$U$5,"Too Long, Characters = "&amp;LEN(Table_ErrorList[[#This Row],[Details Explanation (Line '#1)]])," ")</f>
        <v xml:space="preserve"> </v>
      </c>
      <c r="V58" s="101" t="str">
        <f>IF(LEN(Table_ErrorList[[#This Row],[Details Explanation (Line '#2)]])&gt;$U$5,"Too Long, Characters = "&amp;LEN(Table_ErrorList[[#This Row],[Details Explanation (Line '#2)]])," ")</f>
        <v xml:space="preserve"> </v>
      </c>
    </row>
    <row r="59" spans="1:22" ht="45" x14ac:dyDescent="0.25">
      <c r="A59" s="101" t="b">
        <f>AND(COUNTA(Meals_Date06)&gt;0,COUNTA(Meals_Receipts06)=0)</f>
        <v>0</v>
      </c>
      <c r="B59" s="101" t="str">
        <f ca="1">IFERROR(INDIRECT(Table_ErrorList[[#This Row],[Attention To Named Range]]),"Error")</f>
        <v>Error</v>
      </c>
      <c r="C59" s="96">
        <v>510</v>
      </c>
      <c r="D59" s="96" t="str">
        <f ca="1">IF(Table_ErrorList[[#This Row],[Manual Hierarchy]]="",CONCATENATE(TEXT(Table_ErrorList[[#This Row],[Section '#]],"00"),"-",TEXT(COUNTIF($E59:OFFSET(Table_ErrorList[[#Headers],[Section '#]],1,0,1,1),Table_ErrorList[[#This Row],[Section '#]]),"000")),Table_ErrorList[[#This Row],[Manual Hierarchy]])</f>
        <v>06-020</v>
      </c>
      <c r="E59" s="98">
        <v>6</v>
      </c>
      <c r="F59" s="98" t="str">
        <f>IFERROR(VLOOKUP(Table_ErrorList[[#This Row],[Section '#]],Table_SectionNames[],MATCH(Table_SectionNames[[#Headers],[Name]],Table_SectionNames[#Headers],0),FALSE),"Not found")</f>
        <v>Meals</v>
      </c>
      <c r="G59" s="98"/>
      <c r="H59" s="101" t="str">
        <f>IFERROR(VLOOKUP(Table_ErrorList[[#This Row],[Attention To Named Range]],Table_NamedRanges[],MATCH(Table_NamedRanges[[#Headers],[Reference Type]],Table_NamedRanges[#Headers],0),FALSE),"Error")</f>
        <v>Multiple (Cell or Range)</v>
      </c>
      <c r="I59" s="96" t="s">
        <v>389</v>
      </c>
      <c r="J59" s="101" t="str">
        <f>IF(Table_ErrorList[[#This Row],[Manual Reference]]="",Table_ErrorList[[#This Row],[''Attention To'' Refence]],Table_ErrorList[[#This Row],[Manual Reference]])&amp;","</f>
        <v>$R$18,$S$18,$T$18,</v>
      </c>
      <c r="K59" s="101" t="str">
        <f>SUBSTITUTE(SUBSTITUTE(VLOOKUP(Table_ErrorList[[#This Row],[Attention To Named Range]],Table_NamedRanges[],MATCH(Table_NamedRanges[[#Headers],[Reference Text]],Table_NamedRanges[#Headers],0),FALSE),"=",""),"'Travel Expense Summary'!","")</f>
        <v>$R$18,$S$18,$T$18</v>
      </c>
      <c r="L59" s="101"/>
      <c r="M59" s="81" t="s">
        <v>390</v>
      </c>
      <c r="N59" s="81" t="s">
        <v>362</v>
      </c>
      <c r="O59" s="81" t="b">
        <v>1</v>
      </c>
      <c r="P59" s="100" t="s">
        <v>363</v>
      </c>
      <c r="Q59" s="100" t="s">
        <v>364</v>
      </c>
      <c r="R59"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9" s="81" t="b">
        <v>1</v>
      </c>
      <c r="T59" s="81" t="str">
        <f>IF(LEN(Table_ErrorList[[#This Row],[Message Bar Display]])&gt;$U$5,"Too Long, Characters = "&amp;LEN(Table_ErrorList[[#This Row],[Message Bar Display]])," ")</f>
        <v xml:space="preserve"> </v>
      </c>
      <c r="U59" s="81" t="str">
        <f>IF(LEN(Table_ErrorList[[#This Row],[Details Explanation (Line '#1)]])&gt;$U$5,"Too Long, Characters = "&amp;LEN(Table_ErrorList[[#This Row],[Details Explanation (Line '#1)]])," ")</f>
        <v xml:space="preserve"> </v>
      </c>
      <c r="V59" s="81" t="str">
        <f>IF(LEN(Table_ErrorList[[#This Row],[Details Explanation (Line '#2)]])&gt;$U$5,"Too Long, Characters = "&amp;LEN(Table_ErrorList[[#This Row],[Details Explanation (Line '#2)]])," ")</f>
        <v xml:space="preserve"> </v>
      </c>
    </row>
    <row r="60" spans="1:22" ht="22.5" x14ac:dyDescent="0.25">
      <c r="A60" s="101" t="b">
        <f>AND(COUNTA(Meals_Receipts07)&gt;0,OR(Meals_Date07=0,Meals_Date07=Dropdown_NotSelectedValue,Meals_Date07=""))</f>
        <v>0</v>
      </c>
      <c r="B60" s="101">
        <f ca="1">IFERROR(INDIRECT(Table_ErrorList[[#This Row],[Attention To Named Range]]),"Error")</f>
        <v>0</v>
      </c>
      <c r="C60" s="96">
        <v>520</v>
      </c>
      <c r="D60" s="96" t="str">
        <f ca="1">IF(Table_ErrorList[[#This Row],[Manual Hierarchy]]="",CONCATENATE(TEXT(Table_ErrorList[[#This Row],[Section '#]],"00"),"-",TEXT(COUNTIF($E60:OFFSET(Table_ErrorList[[#Headers],[Section '#]],1,0,1,1),Table_ErrorList[[#This Row],[Section '#]]),"000")),Table_ErrorList[[#This Row],[Manual Hierarchy]])</f>
        <v>06-021</v>
      </c>
      <c r="E60" s="98">
        <v>6</v>
      </c>
      <c r="F60" s="98" t="str">
        <f>IFERROR(VLOOKUP(Table_ErrorList[[#This Row],[Section '#]],Table_SectionNames[],MATCH(Table_SectionNames[[#Headers],[Name]],Table_SectionNames[#Headers],0),FALSE),"Not found")</f>
        <v>Meals</v>
      </c>
      <c r="G60" s="98"/>
      <c r="H60" s="101" t="str">
        <f>IFERROR(VLOOKUP(Table_ErrorList[[#This Row],[Attention To Named Range]],Table_NamedRanges[],MATCH(Table_NamedRanges[[#Headers],[Reference Type]],Table_NamedRanges[#Headers],0),FALSE),"Error")</f>
        <v>Single Cell</v>
      </c>
      <c r="I60" s="96" t="s">
        <v>391</v>
      </c>
      <c r="J60" s="101" t="str">
        <f>IF(Table_ErrorList[[#This Row],[Manual Reference]]="",Table_ErrorList[[#This Row],[''Attention To'' Refence]],Table_ErrorList[[#This Row],[Manual Reference]])&amp;","</f>
        <v>$P$19,</v>
      </c>
      <c r="K60" s="101" t="str">
        <f>SUBSTITUTE(SUBSTITUTE(VLOOKUP(Table_ErrorList[[#This Row],[Attention To Named Range]],Table_NamedRanges[],MATCH(Table_NamedRanges[[#Headers],[Reference Text]],Table_NamedRanges[#Headers],0),FALSE),"=",""),"'Travel Expense Summary'!","")</f>
        <v>$P$19</v>
      </c>
      <c r="L60" s="101"/>
      <c r="M60" s="81" t="s">
        <v>392</v>
      </c>
      <c r="N60" s="81" t="s">
        <v>353</v>
      </c>
      <c r="O60" s="81" t="b">
        <v>1</v>
      </c>
      <c r="P60" s="100" t="s">
        <v>354</v>
      </c>
      <c r="Q60" s="100" t="s">
        <v>355</v>
      </c>
      <c r="R60"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0" s="81" t="b">
        <v>1</v>
      </c>
      <c r="T60" s="81" t="str">
        <f>IF(LEN(Table_ErrorList[[#This Row],[Message Bar Display]])&gt;$U$5,"Too Long, Characters = "&amp;LEN(Table_ErrorList[[#This Row],[Message Bar Display]])," ")</f>
        <v xml:space="preserve"> </v>
      </c>
      <c r="U60" s="81" t="str">
        <f>IF(LEN(Table_ErrorList[[#This Row],[Details Explanation (Line '#1)]])&gt;$U$5,"Too Long, Characters = "&amp;LEN(Table_ErrorList[[#This Row],[Details Explanation (Line '#1)]])," ")</f>
        <v xml:space="preserve"> </v>
      </c>
      <c r="V60" s="81" t="str">
        <f>IF(LEN(Table_ErrorList[[#This Row],[Details Explanation (Line '#2)]])&gt;$U$5,"Too Long, Characters = "&amp;LEN(Table_ErrorList[[#This Row],[Details Explanation (Line '#2)]])," ")</f>
        <v xml:space="preserve"> </v>
      </c>
    </row>
    <row r="61" spans="1:22" s="30" customFormat="1" ht="30" x14ac:dyDescent="0.25">
      <c r="A61" s="101" t="b">
        <f>IF(Meals_Date07&gt;0,NOT(AND(Field15_TravelStartDate&lt;=Meals_Date07,Field16_TravelEndDate&gt;=Meals_Date07)),FALSE)</f>
        <v>0</v>
      </c>
      <c r="B61" s="101">
        <f ca="1">IFERROR(INDIRECT(Table_ErrorList[[#This Row],[Attention To Named Range]]),"Error")</f>
        <v>0</v>
      </c>
      <c r="C61" s="96">
        <v>521</v>
      </c>
      <c r="D61" s="96" t="str">
        <f ca="1">IF(Table_ErrorList[[#This Row],[Manual Hierarchy]]="",CONCATENATE(TEXT(Table_ErrorList[[#This Row],[Section '#]],"00"),"-",TEXT(COUNTIF($E61:OFFSET(Table_ErrorList[[#Headers],[Section '#]],1,0,1,1),Table_ErrorList[[#This Row],[Section '#]]),"000")),Table_ErrorList[[#This Row],[Manual Hierarchy]])</f>
        <v>06-022</v>
      </c>
      <c r="E61" s="98">
        <v>6</v>
      </c>
      <c r="F61" s="98" t="str">
        <f>IFERROR(VLOOKUP(Table_ErrorList[[#This Row],[Section '#]],Table_SectionNames[],MATCH(Table_SectionNames[[#Headers],[Name]],Table_SectionNames[#Headers],0),FALSE),"Not found")</f>
        <v>Meals</v>
      </c>
      <c r="G61" s="98"/>
      <c r="H61" s="101" t="str">
        <f>IFERROR(VLOOKUP(Table_ErrorList[[#This Row],[Attention To Named Range]],Table_NamedRanges[],MATCH(Table_NamedRanges[[#Headers],[Reference Type]],Table_NamedRanges[#Headers],0),FALSE),"Error")</f>
        <v>Single Cell</v>
      </c>
      <c r="I61" s="96" t="s">
        <v>391</v>
      </c>
      <c r="J61" s="101" t="str">
        <f>IF(Table_ErrorList[[#This Row],[Manual Reference]]="",Table_ErrorList[[#This Row],[''Attention To'' Refence]],Table_ErrorList[[#This Row],[Manual Reference]])&amp;","</f>
        <v>$P$19,</v>
      </c>
      <c r="K61" s="101" t="str">
        <f>SUBSTITUTE(SUBSTITUTE(VLOOKUP(Table_ErrorList[[#This Row],[Attention To Named Range]],Table_NamedRanges[],MATCH(Table_NamedRanges[[#Headers],[Reference Text]],Table_NamedRanges[#Headers],0),FALSE),"=",""),"'Travel Expense Summary'!","")</f>
        <v>$P$19</v>
      </c>
      <c r="L61" s="101"/>
      <c r="M61" s="81" t="s">
        <v>393</v>
      </c>
      <c r="N61" s="81" t="s">
        <v>357</v>
      </c>
      <c r="O61" s="81" t="b">
        <v>1</v>
      </c>
      <c r="P61" s="100" t="s">
        <v>358</v>
      </c>
      <c r="Q61" s="100" t="s">
        <v>359</v>
      </c>
      <c r="R61" s="102" t="s">
        <v>368</v>
      </c>
      <c r="S61" s="81" t="b">
        <v>1</v>
      </c>
      <c r="T61" s="101" t="str">
        <f>IF(LEN(Table_ErrorList[[#This Row],[Message Bar Display]])&gt;$U$5,"Too Long, Characters = "&amp;LEN(Table_ErrorList[[#This Row],[Message Bar Display]])," ")</f>
        <v xml:space="preserve"> </v>
      </c>
      <c r="U61" s="101" t="str">
        <f>IF(LEN(Table_ErrorList[[#This Row],[Details Explanation (Line '#1)]])&gt;$U$5,"Too Long, Characters = "&amp;LEN(Table_ErrorList[[#This Row],[Details Explanation (Line '#1)]])," ")</f>
        <v xml:space="preserve"> </v>
      </c>
      <c r="V61" s="101" t="str">
        <f>IF(LEN(Table_ErrorList[[#This Row],[Details Explanation (Line '#2)]])&gt;$U$5,"Too Long, Characters = "&amp;LEN(Table_ErrorList[[#This Row],[Details Explanation (Line '#2)]])," ")</f>
        <v xml:space="preserve"> </v>
      </c>
    </row>
    <row r="62" spans="1:22" ht="45" x14ac:dyDescent="0.25">
      <c r="A62" s="101" t="b">
        <f>AND(COUNTA(Meals_Date07)&gt;0,COUNTA(Meals_Receipts07)=0)</f>
        <v>0</v>
      </c>
      <c r="B62" s="101" t="str">
        <f ca="1">IFERROR(INDIRECT(Table_ErrorList[[#This Row],[Attention To Named Range]]),"Error")</f>
        <v>Error</v>
      </c>
      <c r="C62" s="96">
        <v>530</v>
      </c>
      <c r="D62" s="96" t="str">
        <f ca="1">IF(Table_ErrorList[[#This Row],[Manual Hierarchy]]="",CONCATENATE(TEXT(Table_ErrorList[[#This Row],[Section '#]],"00"),"-",TEXT(COUNTIF($E62:OFFSET(Table_ErrorList[[#Headers],[Section '#]],1,0,1,1),Table_ErrorList[[#This Row],[Section '#]]),"000")),Table_ErrorList[[#This Row],[Manual Hierarchy]])</f>
        <v>06-023</v>
      </c>
      <c r="E62" s="98">
        <v>6</v>
      </c>
      <c r="F62" s="98" t="str">
        <f>IFERROR(VLOOKUP(Table_ErrorList[[#This Row],[Section '#]],Table_SectionNames[],MATCH(Table_SectionNames[[#Headers],[Name]],Table_SectionNames[#Headers],0),FALSE),"Not found")</f>
        <v>Meals</v>
      </c>
      <c r="G62" s="98"/>
      <c r="H62" s="101" t="str">
        <f>IFERROR(VLOOKUP(Table_ErrorList[[#This Row],[Attention To Named Range]],Table_NamedRanges[],MATCH(Table_NamedRanges[[#Headers],[Reference Type]],Table_NamedRanges[#Headers],0),FALSE),"Error")</f>
        <v>Multiple (Cell or Range)</v>
      </c>
      <c r="I62" s="96" t="s">
        <v>394</v>
      </c>
      <c r="J62" s="101" t="str">
        <f>IF(Table_ErrorList[[#This Row],[Manual Reference]]="",Table_ErrorList[[#This Row],[''Attention To'' Refence]],Table_ErrorList[[#This Row],[Manual Reference]])&amp;","</f>
        <v>$R$19,$S$19,$T$19,</v>
      </c>
      <c r="K62" s="101" t="str">
        <f>SUBSTITUTE(SUBSTITUTE(VLOOKUP(Table_ErrorList[[#This Row],[Attention To Named Range]],Table_NamedRanges[],MATCH(Table_NamedRanges[[#Headers],[Reference Text]],Table_NamedRanges[#Headers],0),FALSE),"=",""),"'Travel Expense Summary'!","")</f>
        <v>$R$19,$S$19,$T$19</v>
      </c>
      <c r="L62" s="101"/>
      <c r="M62" s="81" t="s">
        <v>395</v>
      </c>
      <c r="N62" s="81" t="s">
        <v>362</v>
      </c>
      <c r="O62" s="81" t="b">
        <v>1</v>
      </c>
      <c r="P62" s="100" t="s">
        <v>363</v>
      </c>
      <c r="Q62" s="100" t="s">
        <v>364</v>
      </c>
      <c r="R62"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2" s="81" t="b">
        <v>1</v>
      </c>
      <c r="T62" s="81" t="str">
        <f>IF(LEN(Table_ErrorList[[#This Row],[Message Bar Display]])&gt;$U$5,"Too Long, Characters = "&amp;LEN(Table_ErrorList[[#This Row],[Message Bar Display]])," ")</f>
        <v xml:space="preserve"> </v>
      </c>
      <c r="U62" s="81" t="str">
        <f>IF(LEN(Table_ErrorList[[#This Row],[Details Explanation (Line '#1)]])&gt;$U$5,"Too Long, Characters = "&amp;LEN(Table_ErrorList[[#This Row],[Details Explanation (Line '#1)]])," ")</f>
        <v xml:space="preserve"> </v>
      </c>
      <c r="V62" s="81" t="str">
        <f>IF(LEN(Table_ErrorList[[#This Row],[Details Explanation (Line '#2)]])&gt;$U$5,"Too Long, Characters = "&amp;LEN(Table_ErrorList[[#This Row],[Details Explanation (Line '#2)]])," ")</f>
        <v xml:space="preserve"> </v>
      </c>
    </row>
    <row r="63" spans="1:22" ht="22.5" x14ac:dyDescent="0.25">
      <c r="A63" s="101" t="b">
        <f>AND(COUNTA(Meals_Receipts08)&gt;0,OR(Meals_Date08=0,Meals_Date08=Dropdown_NotSelectedValue,Meals_Date08=""))</f>
        <v>0</v>
      </c>
      <c r="B63" s="101">
        <f ca="1">IFERROR(INDIRECT(Table_ErrorList[[#This Row],[Attention To Named Range]]),"Error")</f>
        <v>0</v>
      </c>
      <c r="C63" s="96">
        <v>540</v>
      </c>
      <c r="D63" s="96" t="str">
        <f ca="1">IF(Table_ErrorList[[#This Row],[Manual Hierarchy]]="",CONCATENATE(TEXT(Table_ErrorList[[#This Row],[Section '#]],"00"),"-",TEXT(COUNTIF($E63:OFFSET(Table_ErrorList[[#Headers],[Section '#]],1,0,1,1),Table_ErrorList[[#This Row],[Section '#]]),"000")),Table_ErrorList[[#This Row],[Manual Hierarchy]])</f>
        <v>06-024</v>
      </c>
      <c r="E63" s="98">
        <v>6</v>
      </c>
      <c r="F63" s="98" t="str">
        <f>IFERROR(VLOOKUP(Table_ErrorList[[#This Row],[Section '#]],Table_SectionNames[],MATCH(Table_SectionNames[[#Headers],[Name]],Table_SectionNames[#Headers],0),FALSE),"Not found")</f>
        <v>Meals</v>
      </c>
      <c r="G63" s="98"/>
      <c r="H63" s="101" t="str">
        <f>IFERROR(VLOOKUP(Table_ErrorList[[#This Row],[Attention To Named Range]],Table_NamedRanges[],MATCH(Table_NamedRanges[[#Headers],[Reference Type]],Table_NamedRanges[#Headers],0),FALSE),"Error")</f>
        <v>Single Cell</v>
      </c>
      <c r="I63" s="96" t="s">
        <v>396</v>
      </c>
      <c r="J63" s="101" t="str">
        <f>IF(Table_ErrorList[[#This Row],[Manual Reference]]="",Table_ErrorList[[#This Row],[''Attention To'' Refence]],Table_ErrorList[[#This Row],[Manual Reference]])&amp;","</f>
        <v>$P$20,</v>
      </c>
      <c r="K63" s="101" t="str">
        <f>SUBSTITUTE(SUBSTITUTE(VLOOKUP(Table_ErrorList[[#This Row],[Attention To Named Range]],Table_NamedRanges[],MATCH(Table_NamedRanges[[#Headers],[Reference Text]],Table_NamedRanges[#Headers],0),FALSE),"=",""),"'Travel Expense Summary'!","")</f>
        <v>$P$20</v>
      </c>
      <c r="L63" s="101"/>
      <c r="M63" s="81" t="s">
        <v>397</v>
      </c>
      <c r="N63" s="81" t="s">
        <v>353</v>
      </c>
      <c r="O63" s="81" t="b">
        <v>1</v>
      </c>
      <c r="P63" s="100" t="s">
        <v>354</v>
      </c>
      <c r="Q63" s="100" t="s">
        <v>355</v>
      </c>
      <c r="R63"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3" s="81" t="b">
        <v>1</v>
      </c>
      <c r="T63" s="81" t="str">
        <f>IF(LEN(Table_ErrorList[[#This Row],[Message Bar Display]])&gt;$U$5,"Too Long, Characters = "&amp;LEN(Table_ErrorList[[#This Row],[Message Bar Display]])," ")</f>
        <v xml:space="preserve"> </v>
      </c>
      <c r="U63" s="81" t="str">
        <f>IF(LEN(Table_ErrorList[[#This Row],[Details Explanation (Line '#1)]])&gt;$U$5,"Too Long, Characters = "&amp;LEN(Table_ErrorList[[#This Row],[Details Explanation (Line '#1)]])," ")</f>
        <v xml:space="preserve"> </v>
      </c>
      <c r="V63" s="81" t="str">
        <f>IF(LEN(Table_ErrorList[[#This Row],[Details Explanation (Line '#2)]])&gt;$U$5,"Too Long, Characters = "&amp;LEN(Table_ErrorList[[#This Row],[Details Explanation (Line '#2)]])," ")</f>
        <v xml:space="preserve"> </v>
      </c>
    </row>
    <row r="64" spans="1:22" s="30" customFormat="1" ht="30" x14ac:dyDescent="0.25">
      <c r="A64" s="101" t="b">
        <f>IF(Meals_Date08&gt;0,NOT(AND(Field15_TravelStartDate&lt;=Meals_Date08,Field16_TravelEndDate&gt;=Meals_Date08)),FALSE)</f>
        <v>0</v>
      </c>
      <c r="B64" s="101">
        <f ca="1">IFERROR(INDIRECT(Table_ErrorList[[#This Row],[Attention To Named Range]]),"Error")</f>
        <v>0</v>
      </c>
      <c r="C64" s="96">
        <v>541</v>
      </c>
      <c r="D64" s="96" t="str">
        <f ca="1">IF(Table_ErrorList[[#This Row],[Manual Hierarchy]]="",CONCATENATE(TEXT(Table_ErrorList[[#This Row],[Section '#]],"00"),"-",TEXT(COUNTIF($E64:OFFSET(Table_ErrorList[[#Headers],[Section '#]],1,0,1,1),Table_ErrorList[[#This Row],[Section '#]]),"000")),Table_ErrorList[[#This Row],[Manual Hierarchy]])</f>
        <v>06-025</v>
      </c>
      <c r="E64" s="98">
        <v>6</v>
      </c>
      <c r="F64" s="98" t="str">
        <f>IFERROR(VLOOKUP(Table_ErrorList[[#This Row],[Section '#]],Table_SectionNames[],MATCH(Table_SectionNames[[#Headers],[Name]],Table_SectionNames[#Headers],0),FALSE),"Not found")</f>
        <v>Meals</v>
      </c>
      <c r="G64" s="98"/>
      <c r="H64" s="101" t="str">
        <f>IFERROR(VLOOKUP(Table_ErrorList[[#This Row],[Attention To Named Range]],Table_NamedRanges[],MATCH(Table_NamedRanges[[#Headers],[Reference Type]],Table_NamedRanges[#Headers],0),FALSE),"Error")</f>
        <v>Single Cell</v>
      </c>
      <c r="I64" s="96" t="s">
        <v>396</v>
      </c>
      <c r="J64" s="101" t="str">
        <f>IF(Table_ErrorList[[#This Row],[Manual Reference]]="",Table_ErrorList[[#This Row],[''Attention To'' Refence]],Table_ErrorList[[#This Row],[Manual Reference]])&amp;","</f>
        <v>$P$20,</v>
      </c>
      <c r="K64" s="101" t="str">
        <f>SUBSTITUTE(SUBSTITUTE(VLOOKUP(Table_ErrorList[[#This Row],[Attention To Named Range]],Table_NamedRanges[],MATCH(Table_NamedRanges[[#Headers],[Reference Text]],Table_NamedRanges[#Headers],0),FALSE),"=",""),"'Travel Expense Summary'!","")</f>
        <v>$P$20</v>
      </c>
      <c r="L64" s="101"/>
      <c r="M64" s="81" t="s">
        <v>398</v>
      </c>
      <c r="N64" s="81" t="s">
        <v>357</v>
      </c>
      <c r="O64" s="81" t="b">
        <v>1</v>
      </c>
      <c r="P64" s="100" t="s">
        <v>358</v>
      </c>
      <c r="Q64" s="100" t="s">
        <v>359</v>
      </c>
      <c r="R64" s="102" t="s">
        <v>368</v>
      </c>
      <c r="S64" s="81" t="b">
        <v>1</v>
      </c>
      <c r="T64" s="101" t="str">
        <f>IF(LEN(Table_ErrorList[[#This Row],[Message Bar Display]])&gt;$U$5,"Too Long, Characters = "&amp;LEN(Table_ErrorList[[#This Row],[Message Bar Display]])," ")</f>
        <v xml:space="preserve"> </v>
      </c>
      <c r="U64" s="101" t="str">
        <f>IF(LEN(Table_ErrorList[[#This Row],[Details Explanation (Line '#1)]])&gt;$U$5,"Too Long, Characters = "&amp;LEN(Table_ErrorList[[#This Row],[Details Explanation (Line '#1)]])," ")</f>
        <v xml:space="preserve"> </v>
      </c>
      <c r="V64" s="101" t="str">
        <f>IF(LEN(Table_ErrorList[[#This Row],[Details Explanation (Line '#2)]])&gt;$U$5,"Too Long, Characters = "&amp;LEN(Table_ErrorList[[#This Row],[Details Explanation (Line '#2)]])," ")</f>
        <v xml:space="preserve"> </v>
      </c>
    </row>
    <row r="65" spans="1:22" ht="45" x14ac:dyDescent="0.25">
      <c r="A65" s="101" t="b">
        <f>AND(COUNTA(Meals_Date08)&gt;0,COUNTA(Meals_Receipts08)=0)</f>
        <v>0</v>
      </c>
      <c r="B65" s="101" t="str">
        <f ca="1">IFERROR(INDIRECT(Table_ErrorList[[#This Row],[Attention To Named Range]]),"Error")</f>
        <v>Error</v>
      </c>
      <c r="C65" s="96">
        <v>550</v>
      </c>
      <c r="D65" s="96" t="str">
        <f ca="1">IF(Table_ErrorList[[#This Row],[Manual Hierarchy]]="",CONCATENATE(TEXT(Table_ErrorList[[#This Row],[Section '#]],"00"),"-",TEXT(COUNTIF($E65:OFFSET(Table_ErrorList[[#Headers],[Section '#]],1,0,1,1),Table_ErrorList[[#This Row],[Section '#]]),"000")),Table_ErrorList[[#This Row],[Manual Hierarchy]])</f>
        <v>06-026</v>
      </c>
      <c r="E65" s="98">
        <v>6</v>
      </c>
      <c r="F65" s="98" t="str">
        <f>IFERROR(VLOOKUP(Table_ErrorList[[#This Row],[Section '#]],Table_SectionNames[],MATCH(Table_SectionNames[[#Headers],[Name]],Table_SectionNames[#Headers],0),FALSE),"Not found")</f>
        <v>Meals</v>
      </c>
      <c r="G65" s="98"/>
      <c r="H65" s="101" t="str">
        <f>IFERROR(VLOOKUP(Table_ErrorList[[#This Row],[Attention To Named Range]],Table_NamedRanges[],MATCH(Table_NamedRanges[[#Headers],[Reference Type]],Table_NamedRanges[#Headers],0),FALSE),"Error")</f>
        <v>Multiple (Cell or Range)</v>
      </c>
      <c r="I65" s="96" t="s">
        <v>399</v>
      </c>
      <c r="J65" s="101" t="str">
        <f>IF(Table_ErrorList[[#This Row],[Manual Reference]]="",Table_ErrorList[[#This Row],[''Attention To'' Refence]],Table_ErrorList[[#This Row],[Manual Reference]])&amp;","</f>
        <v>$R$20,$S$20,$T$20,</v>
      </c>
      <c r="K65" s="101" t="str">
        <f>SUBSTITUTE(SUBSTITUTE(VLOOKUP(Table_ErrorList[[#This Row],[Attention To Named Range]],Table_NamedRanges[],MATCH(Table_NamedRanges[[#Headers],[Reference Text]],Table_NamedRanges[#Headers],0),FALSE),"=",""),"'Travel Expense Summary'!","")</f>
        <v>$R$20,$S$20,$T$20</v>
      </c>
      <c r="L65" s="101"/>
      <c r="M65" s="81" t="s">
        <v>400</v>
      </c>
      <c r="N65" s="81" t="s">
        <v>362</v>
      </c>
      <c r="O65" s="81" t="b">
        <v>1</v>
      </c>
      <c r="P65" s="100" t="s">
        <v>363</v>
      </c>
      <c r="Q65" s="100" t="s">
        <v>364</v>
      </c>
      <c r="R65"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5" s="81" t="b">
        <v>1</v>
      </c>
      <c r="T65" s="81" t="str">
        <f>IF(LEN(Table_ErrorList[[#This Row],[Message Bar Display]])&gt;$U$5,"Too Long, Characters = "&amp;LEN(Table_ErrorList[[#This Row],[Message Bar Display]])," ")</f>
        <v xml:space="preserve"> </v>
      </c>
      <c r="U65" s="81" t="str">
        <f>IF(LEN(Table_ErrorList[[#This Row],[Details Explanation (Line '#1)]])&gt;$U$5,"Too Long, Characters = "&amp;LEN(Table_ErrorList[[#This Row],[Details Explanation (Line '#1)]])," ")</f>
        <v xml:space="preserve"> </v>
      </c>
      <c r="V65" s="81" t="str">
        <f>IF(LEN(Table_ErrorList[[#This Row],[Details Explanation (Line '#2)]])&gt;$U$5,"Too Long, Characters = "&amp;LEN(Table_ErrorList[[#This Row],[Details Explanation (Line '#2)]])," ")</f>
        <v xml:space="preserve"> </v>
      </c>
    </row>
    <row r="66" spans="1:22" ht="22.5" x14ac:dyDescent="0.25">
      <c r="A66" s="101" t="b">
        <f>AND(COUNTA(Meals_Receipts09)&gt;0,OR(Meals_Date09=0,Meals_Date09=Dropdown_NotSelectedValue,Meals_Date09=""))</f>
        <v>0</v>
      </c>
      <c r="B66" s="101">
        <f ca="1">IFERROR(INDIRECT(Table_ErrorList[[#This Row],[Attention To Named Range]]),"Error")</f>
        <v>0</v>
      </c>
      <c r="C66" s="96">
        <v>560</v>
      </c>
      <c r="D66" s="96" t="str">
        <f ca="1">IF(Table_ErrorList[[#This Row],[Manual Hierarchy]]="",CONCATENATE(TEXT(Table_ErrorList[[#This Row],[Section '#]],"00"),"-",TEXT(COUNTIF($E66:OFFSET(Table_ErrorList[[#Headers],[Section '#]],1,0,1,1),Table_ErrorList[[#This Row],[Section '#]]),"000")),Table_ErrorList[[#This Row],[Manual Hierarchy]])</f>
        <v>06-027</v>
      </c>
      <c r="E66" s="98">
        <v>6</v>
      </c>
      <c r="F66" s="98" t="str">
        <f>IFERROR(VLOOKUP(Table_ErrorList[[#This Row],[Section '#]],Table_SectionNames[],MATCH(Table_SectionNames[[#Headers],[Name]],Table_SectionNames[#Headers],0),FALSE),"Not found")</f>
        <v>Meals</v>
      </c>
      <c r="G66" s="98"/>
      <c r="H66" s="101" t="str">
        <f>IFERROR(VLOOKUP(Table_ErrorList[[#This Row],[Attention To Named Range]],Table_NamedRanges[],MATCH(Table_NamedRanges[[#Headers],[Reference Type]],Table_NamedRanges[#Headers],0),FALSE),"Error")</f>
        <v>Single Cell</v>
      </c>
      <c r="I66" s="96" t="s">
        <v>401</v>
      </c>
      <c r="J66" s="101" t="str">
        <f>IF(Table_ErrorList[[#This Row],[Manual Reference]]="",Table_ErrorList[[#This Row],[''Attention To'' Refence]],Table_ErrorList[[#This Row],[Manual Reference]])&amp;","</f>
        <v>$P$21,</v>
      </c>
      <c r="K66" s="101" t="str">
        <f>SUBSTITUTE(SUBSTITUTE(VLOOKUP(Table_ErrorList[[#This Row],[Attention To Named Range]],Table_NamedRanges[],MATCH(Table_NamedRanges[[#Headers],[Reference Text]],Table_NamedRanges[#Headers],0),FALSE),"=",""),"'Travel Expense Summary'!","")</f>
        <v>$P$21</v>
      </c>
      <c r="L66" s="101"/>
      <c r="M66" s="81" t="s">
        <v>402</v>
      </c>
      <c r="N66" s="81" t="s">
        <v>353</v>
      </c>
      <c r="O66" s="81" t="b">
        <v>1</v>
      </c>
      <c r="P66" s="100" t="s">
        <v>354</v>
      </c>
      <c r="Q66" s="100" t="s">
        <v>355</v>
      </c>
      <c r="R66"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6" s="81" t="b">
        <v>1</v>
      </c>
      <c r="T66" s="81" t="str">
        <f>IF(LEN(Table_ErrorList[[#This Row],[Message Bar Display]])&gt;$U$5,"Too Long, Characters = "&amp;LEN(Table_ErrorList[[#This Row],[Message Bar Display]])," ")</f>
        <v xml:space="preserve"> </v>
      </c>
      <c r="U66" s="81" t="str">
        <f>IF(LEN(Table_ErrorList[[#This Row],[Details Explanation (Line '#1)]])&gt;$U$5,"Too Long, Characters = "&amp;LEN(Table_ErrorList[[#This Row],[Details Explanation (Line '#1)]])," ")</f>
        <v xml:space="preserve"> </v>
      </c>
      <c r="V66" s="81" t="str">
        <f>IF(LEN(Table_ErrorList[[#This Row],[Details Explanation (Line '#2)]])&gt;$U$5,"Too Long, Characters = "&amp;LEN(Table_ErrorList[[#This Row],[Details Explanation (Line '#2)]])," ")</f>
        <v xml:space="preserve"> </v>
      </c>
    </row>
    <row r="67" spans="1:22" s="30" customFormat="1" ht="30" x14ac:dyDescent="0.25">
      <c r="A67" s="101" t="b">
        <f>IF(Meals_Date09&gt;0,NOT(AND(Field15_TravelStartDate&lt;=Meals_Date09,Field16_TravelEndDate&gt;=Meals_Date09)),FALSE)</f>
        <v>0</v>
      </c>
      <c r="B67" s="101">
        <f ca="1">IFERROR(INDIRECT(Table_ErrorList[[#This Row],[Attention To Named Range]]),"Error")</f>
        <v>0</v>
      </c>
      <c r="C67" s="96">
        <v>561</v>
      </c>
      <c r="D67" s="96" t="str">
        <f ca="1">IF(Table_ErrorList[[#This Row],[Manual Hierarchy]]="",CONCATENATE(TEXT(Table_ErrorList[[#This Row],[Section '#]],"00"),"-",TEXT(COUNTIF($E67:OFFSET(Table_ErrorList[[#Headers],[Section '#]],1,0,1,1),Table_ErrorList[[#This Row],[Section '#]]),"000")),Table_ErrorList[[#This Row],[Manual Hierarchy]])</f>
        <v>06-028</v>
      </c>
      <c r="E67" s="98">
        <v>6</v>
      </c>
      <c r="F67" s="98" t="str">
        <f>IFERROR(VLOOKUP(Table_ErrorList[[#This Row],[Section '#]],Table_SectionNames[],MATCH(Table_SectionNames[[#Headers],[Name]],Table_SectionNames[#Headers],0),FALSE),"Not found")</f>
        <v>Meals</v>
      </c>
      <c r="G67" s="98"/>
      <c r="H67" s="101" t="str">
        <f>IFERROR(VLOOKUP(Table_ErrorList[[#This Row],[Attention To Named Range]],Table_NamedRanges[],MATCH(Table_NamedRanges[[#Headers],[Reference Type]],Table_NamedRanges[#Headers],0),FALSE),"Error")</f>
        <v>Single Cell</v>
      </c>
      <c r="I67" s="96" t="s">
        <v>401</v>
      </c>
      <c r="J67" s="101" t="str">
        <f>IF(Table_ErrorList[[#This Row],[Manual Reference]]="",Table_ErrorList[[#This Row],[''Attention To'' Refence]],Table_ErrorList[[#This Row],[Manual Reference]])&amp;","</f>
        <v>$P$21,</v>
      </c>
      <c r="K67" s="101" t="str">
        <f>SUBSTITUTE(SUBSTITUTE(VLOOKUP(Table_ErrorList[[#This Row],[Attention To Named Range]],Table_NamedRanges[],MATCH(Table_NamedRanges[[#Headers],[Reference Text]],Table_NamedRanges[#Headers],0),FALSE),"=",""),"'Travel Expense Summary'!","")</f>
        <v>$P$21</v>
      </c>
      <c r="L67" s="101"/>
      <c r="M67" s="81" t="s">
        <v>403</v>
      </c>
      <c r="N67" s="81" t="s">
        <v>357</v>
      </c>
      <c r="O67" s="81" t="b">
        <v>1</v>
      </c>
      <c r="P67" s="100" t="s">
        <v>358</v>
      </c>
      <c r="Q67" s="100" t="s">
        <v>359</v>
      </c>
      <c r="R67" s="102" t="s">
        <v>368</v>
      </c>
      <c r="S67" s="81" t="b">
        <v>1</v>
      </c>
      <c r="T67" s="101" t="str">
        <f>IF(LEN(Table_ErrorList[[#This Row],[Message Bar Display]])&gt;$U$5,"Too Long, Characters = "&amp;LEN(Table_ErrorList[[#This Row],[Message Bar Display]])," ")</f>
        <v xml:space="preserve"> </v>
      </c>
      <c r="U67" s="101" t="str">
        <f>IF(LEN(Table_ErrorList[[#This Row],[Details Explanation (Line '#1)]])&gt;$U$5,"Too Long, Characters = "&amp;LEN(Table_ErrorList[[#This Row],[Details Explanation (Line '#1)]])," ")</f>
        <v xml:space="preserve"> </v>
      </c>
      <c r="V67" s="101" t="str">
        <f>IF(LEN(Table_ErrorList[[#This Row],[Details Explanation (Line '#2)]])&gt;$U$5,"Too Long, Characters = "&amp;LEN(Table_ErrorList[[#This Row],[Details Explanation (Line '#2)]])," ")</f>
        <v xml:space="preserve"> </v>
      </c>
    </row>
    <row r="68" spans="1:22" ht="45" x14ac:dyDescent="0.25">
      <c r="A68" s="101" t="b">
        <f>AND(COUNTA(Meals_Date09)&gt;0,COUNTA(Meals_Receipts09)=0)</f>
        <v>0</v>
      </c>
      <c r="B68" s="101" t="str">
        <f ca="1">IFERROR(INDIRECT(Table_ErrorList[[#This Row],[Attention To Named Range]]),"Error")</f>
        <v>Error</v>
      </c>
      <c r="C68" s="96">
        <v>570</v>
      </c>
      <c r="D68" s="96" t="str">
        <f ca="1">IF(Table_ErrorList[[#This Row],[Manual Hierarchy]]="",CONCATENATE(TEXT(Table_ErrorList[[#This Row],[Section '#]],"00"),"-",TEXT(COUNTIF($E68:OFFSET(Table_ErrorList[[#Headers],[Section '#]],1,0,1,1),Table_ErrorList[[#This Row],[Section '#]]),"000")),Table_ErrorList[[#This Row],[Manual Hierarchy]])</f>
        <v>06-029</v>
      </c>
      <c r="E68" s="98">
        <v>6</v>
      </c>
      <c r="F68" s="98" t="str">
        <f>IFERROR(VLOOKUP(Table_ErrorList[[#This Row],[Section '#]],Table_SectionNames[],MATCH(Table_SectionNames[[#Headers],[Name]],Table_SectionNames[#Headers],0),FALSE),"Not found")</f>
        <v>Meals</v>
      </c>
      <c r="G68" s="98"/>
      <c r="H68" s="101" t="str">
        <f>IFERROR(VLOOKUP(Table_ErrorList[[#This Row],[Attention To Named Range]],Table_NamedRanges[],MATCH(Table_NamedRanges[[#Headers],[Reference Type]],Table_NamedRanges[#Headers],0),FALSE),"Error")</f>
        <v>Multiple (Cell or Range)</v>
      </c>
      <c r="I68" s="96" t="s">
        <v>404</v>
      </c>
      <c r="J68" s="101" t="str">
        <f>IF(Table_ErrorList[[#This Row],[Manual Reference]]="",Table_ErrorList[[#This Row],[''Attention To'' Refence]],Table_ErrorList[[#This Row],[Manual Reference]])&amp;","</f>
        <v>$R$21,$S$21,$T$21,</v>
      </c>
      <c r="K68" s="101" t="str">
        <f>SUBSTITUTE(SUBSTITUTE(VLOOKUP(Table_ErrorList[[#This Row],[Attention To Named Range]],Table_NamedRanges[],MATCH(Table_NamedRanges[[#Headers],[Reference Text]],Table_NamedRanges[#Headers],0),FALSE),"=",""),"'Travel Expense Summary'!","")</f>
        <v>$R$21,$S$21,$T$21</v>
      </c>
      <c r="L68" s="101"/>
      <c r="M68" s="81" t="s">
        <v>405</v>
      </c>
      <c r="N68" s="81" t="s">
        <v>362</v>
      </c>
      <c r="O68" s="81" t="b">
        <v>1</v>
      </c>
      <c r="P68" s="100" t="s">
        <v>363</v>
      </c>
      <c r="Q68" s="100" t="s">
        <v>364</v>
      </c>
      <c r="R68"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8" s="81" t="b">
        <v>1</v>
      </c>
      <c r="T68" s="81" t="str">
        <f>IF(LEN(Table_ErrorList[[#This Row],[Message Bar Display]])&gt;$U$5,"Too Long, Characters = "&amp;LEN(Table_ErrorList[[#This Row],[Message Bar Display]])," ")</f>
        <v xml:space="preserve"> </v>
      </c>
      <c r="U68" s="81" t="str">
        <f>IF(LEN(Table_ErrorList[[#This Row],[Details Explanation (Line '#1)]])&gt;$U$5,"Too Long, Characters = "&amp;LEN(Table_ErrorList[[#This Row],[Details Explanation (Line '#1)]])," ")</f>
        <v xml:space="preserve"> </v>
      </c>
      <c r="V68" s="81" t="str">
        <f>IF(LEN(Table_ErrorList[[#This Row],[Details Explanation (Line '#2)]])&gt;$U$5,"Too Long, Characters = "&amp;LEN(Table_ErrorList[[#This Row],[Details Explanation (Line '#2)]])," ")</f>
        <v xml:space="preserve"> </v>
      </c>
    </row>
    <row r="69" spans="1:22" ht="22.5" x14ac:dyDescent="0.25">
      <c r="A69" s="101" t="b">
        <f>AND(COUNTA(Meals_Receipts10)&gt;0,OR(Meals_Date10=0,Meals_Date10=Dropdown_NotSelectedValue,Meals_Date10=""))</f>
        <v>0</v>
      </c>
      <c r="B69" s="101">
        <f ca="1">IFERROR(INDIRECT(Table_ErrorList[[#This Row],[Attention To Named Range]]),"Error")</f>
        <v>0</v>
      </c>
      <c r="C69" s="96">
        <v>580</v>
      </c>
      <c r="D69" s="96" t="str">
        <f ca="1">IF(Table_ErrorList[[#This Row],[Manual Hierarchy]]="",CONCATENATE(TEXT(Table_ErrorList[[#This Row],[Section '#]],"00"),"-",TEXT(COUNTIF($E69:OFFSET(Table_ErrorList[[#Headers],[Section '#]],1,0,1,1),Table_ErrorList[[#This Row],[Section '#]]),"000")),Table_ErrorList[[#This Row],[Manual Hierarchy]])</f>
        <v>06-030</v>
      </c>
      <c r="E69" s="98">
        <v>6</v>
      </c>
      <c r="F69" s="98" t="str">
        <f>IFERROR(VLOOKUP(Table_ErrorList[[#This Row],[Section '#]],Table_SectionNames[],MATCH(Table_SectionNames[[#Headers],[Name]],Table_SectionNames[#Headers],0),FALSE),"Not found")</f>
        <v>Meals</v>
      </c>
      <c r="G69" s="98"/>
      <c r="H69" s="101" t="str">
        <f>IFERROR(VLOOKUP(Table_ErrorList[[#This Row],[Attention To Named Range]],Table_NamedRanges[],MATCH(Table_NamedRanges[[#Headers],[Reference Type]],Table_NamedRanges[#Headers],0),FALSE),"Error")</f>
        <v>Single Cell</v>
      </c>
      <c r="I69" s="96" t="s">
        <v>406</v>
      </c>
      <c r="J69" s="101" t="str">
        <f>IF(Table_ErrorList[[#This Row],[Manual Reference]]="",Table_ErrorList[[#This Row],[''Attention To'' Refence]],Table_ErrorList[[#This Row],[Manual Reference]])&amp;","</f>
        <v>$P$22,</v>
      </c>
      <c r="K69" s="101" t="str">
        <f>SUBSTITUTE(SUBSTITUTE(VLOOKUP(Table_ErrorList[[#This Row],[Attention To Named Range]],Table_NamedRanges[],MATCH(Table_NamedRanges[[#Headers],[Reference Text]],Table_NamedRanges[#Headers],0),FALSE),"=",""),"'Travel Expense Summary'!","")</f>
        <v>$P$22</v>
      </c>
      <c r="L69" s="101"/>
      <c r="M69" s="81" t="s">
        <v>407</v>
      </c>
      <c r="N69" s="81" t="s">
        <v>353</v>
      </c>
      <c r="O69" s="81" t="b">
        <v>1</v>
      </c>
      <c r="P69" s="100" t="s">
        <v>354</v>
      </c>
      <c r="Q69" s="100" t="s">
        <v>355</v>
      </c>
      <c r="R69"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9" s="81" t="b">
        <v>1</v>
      </c>
      <c r="T69" s="81" t="str">
        <f>IF(LEN(Table_ErrorList[[#This Row],[Message Bar Display]])&gt;$U$5,"Too Long, Characters = "&amp;LEN(Table_ErrorList[[#This Row],[Message Bar Display]])," ")</f>
        <v xml:space="preserve"> </v>
      </c>
      <c r="U69" s="81" t="str">
        <f>IF(LEN(Table_ErrorList[[#This Row],[Details Explanation (Line '#1)]])&gt;$U$5,"Too Long, Characters = "&amp;LEN(Table_ErrorList[[#This Row],[Details Explanation (Line '#1)]])," ")</f>
        <v xml:space="preserve"> </v>
      </c>
      <c r="V69" s="81" t="str">
        <f>IF(LEN(Table_ErrorList[[#This Row],[Details Explanation (Line '#2)]])&gt;$U$5,"Too Long, Characters = "&amp;LEN(Table_ErrorList[[#This Row],[Details Explanation (Line '#2)]])," ")</f>
        <v xml:space="preserve"> </v>
      </c>
    </row>
    <row r="70" spans="1:22" s="30" customFormat="1" ht="30" x14ac:dyDescent="0.25">
      <c r="A70" s="101" t="b">
        <f>IF(Meals_Date10&gt;0,NOT(AND(Field15_TravelStartDate&lt;=Meals_Date10,Field16_TravelEndDate&gt;=Meals_Date10)),FALSE)</f>
        <v>0</v>
      </c>
      <c r="B70" s="101">
        <f ca="1">IFERROR(INDIRECT(Table_ErrorList[[#This Row],[Attention To Named Range]]),"Error")</f>
        <v>0</v>
      </c>
      <c r="C70" s="96">
        <v>581</v>
      </c>
      <c r="D70" s="96" t="str">
        <f ca="1">IF(Table_ErrorList[[#This Row],[Manual Hierarchy]]="",CONCATENATE(TEXT(Table_ErrorList[[#This Row],[Section '#]],"00"),"-",TEXT(COUNTIF($E70:OFFSET(Table_ErrorList[[#Headers],[Section '#]],1,0,1,1),Table_ErrorList[[#This Row],[Section '#]]),"000")),Table_ErrorList[[#This Row],[Manual Hierarchy]])</f>
        <v>06-031</v>
      </c>
      <c r="E70" s="98">
        <v>6</v>
      </c>
      <c r="F70" s="98" t="str">
        <f>IFERROR(VLOOKUP(Table_ErrorList[[#This Row],[Section '#]],Table_SectionNames[],MATCH(Table_SectionNames[[#Headers],[Name]],Table_SectionNames[#Headers],0),FALSE),"Not found")</f>
        <v>Meals</v>
      </c>
      <c r="G70" s="98"/>
      <c r="H70" s="101" t="str">
        <f>IFERROR(VLOOKUP(Table_ErrorList[[#This Row],[Attention To Named Range]],Table_NamedRanges[],MATCH(Table_NamedRanges[[#Headers],[Reference Type]],Table_NamedRanges[#Headers],0),FALSE),"Error")</f>
        <v>Single Cell</v>
      </c>
      <c r="I70" s="96" t="s">
        <v>406</v>
      </c>
      <c r="J70" s="101" t="str">
        <f>IF(Table_ErrorList[[#This Row],[Manual Reference]]="",Table_ErrorList[[#This Row],[''Attention To'' Refence]],Table_ErrorList[[#This Row],[Manual Reference]])&amp;","</f>
        <v>$P$22,</v>
      </c>
      <c r="K70" s="101" t="str">
        <f>SUBSTITUTE(SUBSTITUTE(VLOOKUP(Table_ErrorList[[#This Row],[Attention To Named Range]],Table_NamedRanges[],MATCH(Table_NamedRanges[[#Headers],[Reference Text]],Table_NamedRanges[#Headers],0),FALSE),"=",""),"'Travel Expense Summary'!","")</f>
        <v>$P$22</v>
      </c>
      <c r="L70" s="101"/>
      <c r="M70" s="81" t="s">
        <v>408</v>
      </c>
      <c r="N70" s="81" t="s">
        <v>357</v>
      </c>
      <c r="O70" s="81" t="b">
        <v>1</v>
      </c>
      <c r="P70" s="100" t="s">
        <v>358</v>
      </c>
      <c r="Q70" s="100" t="s">
        <v>359</v>
      </c>
      <c r="R70" s="102" t="s">
        <v>368</v>
      </c>
      <c r="S70" s="81" t="b">
        <v>1</v>
      </c>
      <c r="T70" s="101" t="str">
        <f>IF(LEN(Table_ErrorList[[#This Row],[Message Bar Display]])&gt;$U$5,"Too Long, Characters = "&amp;LEN(Table_ErrorList[[#This Row],[Message Bar Display]])," ")</f>
        <v xml:space="preserve"> </v>
      </c>
      <c r="U70" s="101" t="str">
        <f>IF(LEN(Table_ErrorList[[#This Row],[Details Explanation (Line '#1)]])&gt;$U$5,"Too Long, Characters = "&amp;LEN(Table_ErrorList[[#This Row],[Details Explanation (Line '#1)]])," ")</f>
        <v xml:space="preserve"> </v>
      </c>
      <c r="V70" s="101" t="str">
        <f>IF(LEN(Table_ErrorList[[#This Row],[Details Explanation (Line '#2)]])&gt;$U$5,"Too Long, Characters = "&amp;LEN(Table_ErrorList[[#This Row],[Details Explanation (Line '#2)]])," ")</f>
        <v xml:space="preserve"> </v>
      </c>
    </row>
    <row r="71" spans="1:22" s="30" customFormat="1" ht="45" x14ac:dyDescent="0.25">
      <c r="A71" s="101" t="b">
        <f>AND(COUNTA(Meals_Date10)&gt;0,COUNTA(Meals_Receipts10)=0)</f>
        <v>0</v>
      </c>
      <c r="B71" s="101" t="str">
        <f ca="1">IFERROR(INDIRECT(Table_ErrorList[[#This Row],[Attention To Named Range]]),"Error")</f>
        <v>Error</v>
      </c>
      <c r="C71" s="96">
        <v>590</v>
      </c>
      <c r="D71" s="96" t="str">
        <f ca="1">IF(Table_ErrorList[[#This Row],[Manual Hierarchy]]="",CONCATENATE(TEXT(Table_ErrorList[[#This Row],[Section '#]],"00"),"-",TEXT(COUNTIF($E71:OFFSET(Table_ErrorList[[#Headers],[Section '#]],1,0,1,1),Table_ErrorList[[#This Row],[Section '#]]),"000")),Table_ErrorList[[#This Row],[Manual Hierarchy]])</f>
        <v>06-032</v>
      </c>
      <c r="E71" s="98">
        <v>6</v>
      </c>
      <c r="F71" s="98" t="str">
        <f>IFERROR(VLOOKUP(Table_ErrorList[[#This Row],[Section '#]],Table_SectionNames[],MATCH(Table_SectionNames[[#Headers],[Name]],Table_SectionNames[#Headers],0),FALSE),"Not found")</f>
        <v>Meals</v>
      </c>
      <c r="G71" s="98"/>
      <c r="H71" s="101" t="str">
        <f>IFERROR(VLOOKUP(Table_ErrorList[[#This Row],[Attention To Named Range]],Table_NamedRanges[],MATCH(Table_NamedRanges[[#Headers],[Reference Type]],Table_NamedRanges[#Headers],0),FALSE),"Error")</f>
        <v>Multiple (Cell or Range)</v>
      </c>
      <c r="I71" s="96" t="s">
        <v>409</v>
      </c>
      <c r="J71" s="101" t="str">
        <f>IF(Table_ErrorList[[#This Row],[Manual Reference]]="",Table_ErrorList[[#This Row],[''Attention To'' Refence]],Table_ErrorList[[#This Row],[Manual Reference]])&amp;","</f>
        <v>$R$22,$S$22,$T$22,</v>
      </c>
      <c r="K71" s="101" t="str">
        <f>SUBSTITUTE(SUBSTITUTE(VLOOKUP(Table_ErrorList[[#This Row],[Attention To Named Range]],Table_NamedRanges[],MATCH(Table_NamedRanges[[#Headers],[Reference Text]],Table_NamedRanges[#Headers],0),FALSE),"=",""),"'Travel Expense Summary'!","")</f>
        <v>$R$22,$S$22,$T$22</v>
      </c>
      <c r="L71" s="101"/>
      <c r="M71" s="81" t="s">
        <v>410</v>
      </c>
      <c r="N71" s="81" t="s">
        <v>362</v>
      </c>
      <c r="O71" s="81" t="b">
        <v>1</v>
      </c>
      <c r="P71" s="100" t="s">
        <v>363</v>
      </c>
      <c r="Q71" s="100" t="s">
        <v>364</v>
      </c>
      <c r="R71"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71" s="81" t="b">
        <v>1</v>
      </c>
      <c r="T71" s="81" t="str">
        <f>IF(LEN(Table_ErrorList[[#This Row],[Message Bar Display]])&gt;$U$5,"Too Long, Characters = "&amp;LEN(Table_ErrorList[[#This Row],[Message Bar Display]])," ")</f>
        <v xml:space="preserve"> </v>
      </c>
      <c r="U71" s="81" t="str">
        <f>IF(LEN(Table_ErrorList[[#This Row],[Details Explanation (Line '#1)]])&gt;$U$5,"Too Long, Characters = "&amp;LEN(Table_ErrorList[[#This Row],[Details Explanation (Line '#1)]])," ")</f>
        <v xml:space="preserve"> </v>
      </c>
      <c r="V71" s="81" t="str">
        <f>IF(LEN(Table_ErrorList[[#This Row],[Details Explanation (Line '#2)]])&gt;$U$5,"Too Long, Characters = "&amp;LEN(Table_ErrorList[[#This Row],[Details Explanation (Line '#2)]])," ")</f>
        <v xml:space="preserve"> </v>
      </c>
    </row>
    <row r="72" spans="1:22" s="30" customFormat="1" ht="30" x14ac:dyDescent="0.25">
      <c r="A72" s="101" t="b">
        <f>AND(
OR(Others_Date01=0,Others_Date01="",Others_Date01=Dropdown_NotSelectedValue),
COUNTA(Others_Expense01,Others_Desc01, Others_From01, Others_To01, Others_Receipt01, Others_KM01)&gt;0)</f>
        <v>0</v>
      </c>
      <c r="B72" s="101">
        <f ca="1">IFERROR(INDIRECT(Table_ErrorList[[#This Row],[Attention To Named Range]]),"Error")</f>
        <v>43556</v>
      </c>
      <c r="C72" s="96">
        <v>700</v>
      </c>
      <c r="D72" s="96" t="str">
        <f ca="1">IF(Table_ErrorList[[#This Row],[Manual Hierarchy]]="",CONCATENATE(TEXT(Table_ErrorList[[#This Row],[Section '#]],"00"),"-",TEXT(COUNTIF($E72:OFFSET(Table_ErrorList[[#Headers],[Section '#]],1,0,1,1),Table_ErrorList[[#This Row],[Section '#]]),"000")),Table_ErrorList[[#This Row],[Manual Hierarchy]])</f>
        <v>07-001</v>
      </c>
      <c r="E72" s="98">
        <v>7</v>
      </c>
      <c r="F72" s="98" t="str">
        <f>IFERROR(VLOOKUP(Table_ErrorList[[#This Row],[Section '#]],Table_SectionNames[],MATCH(Table_SectionNames[[#Headers],[Name]],Table_SectionNames[#Headers],0),FALSE),"Not found")</f>
        <v>Other Expenses</v>
      </c>
      <c r="G72" s="98"/>
      <c r="H72" s="101" t="str">
        <f>IFERROR(VLOOKUP(Table_ErrorList[[#This Row],[Attention To Named Range]],Table_NamedRanges[],MATCH(Table_NamedRanges[[#Headers],[Reference Type]],Table_NamedRanges[#Headers],0),FALSE),"Error")</f>
        <v>Single Cell</v>
      </c>
      <c r="I72" s="96" t="s">
        <v>411</v>
      </c>
      <c r="J72" s="101" t="str">
        <f>IF(Table_ErrorList[[#This Row],[Manual Reference]]="",Table_ErrorList[[#This Row],[''Attention To'' Refence]],Table_ErrorList[[#This Row],[Manual Reference]])&amp;","</f>
        <v>$I$27,</v>
      </c>
      <c r="K72" s="101" t="str">
        <f>SUBSTITUTE(SUBSTITUTE(VLOOKUP(Table_ErrorList[[#This Row],[Attention To Named Range]],Table_NamedRanges[],MATCH(Table_NamedRanges[[#Headers],[Reference Text]],Table_NamedRanges[#Headers],0),FALSE),"=",""),"'Travel Expense Summary'!","")</f>
        <v>$I$27</v>
      </c>
      <c r="L72" s="101"/>
      <c r="M72" s="81" t="s">
        <v>412</v>
      </c>
      <c r="N72" s="81" t="s">
        <v>413</v>
      </c>
      <c r="O72" s="81" t="b">
        <v>1</v>
      </c>
      <c r="P72" s="100" t="s">
        <v>354</v>
      </c>
      <c r="Q72" s="100" t="s">
        <v>355</v>
      </c>
      <c r="R7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72" s="81" t="b">
        <v>1</v>
      </c>
      <c r="T72" s="81" t="str">
        <f>IF(LEN(Table_ErrorList[[#This Row],[Message Bar Display]])&gt;$U$5,"Too Long, Characters = "&amp;LEN(Table_ErrorList[[#This Row],[Message Bar Display]])," ")</f>
        <v xml:space="preserve"> </v>
      </c>
      <c r="U72" s="81" t="str">
        <f>IF(LEN(Table_ErrorList[[#This Row],[Details Explanation (Line '#1)]])&gt;$U$5,"Too Long, Characters = "&amp;LEN(Table_ErrorList[[#This Row],[Details Explanation (Line '#1)]])," ")</f>
        <v xml:space="preserve"> </v>
      </c>
      <c r="V72" s="81" t="str">
        <f>IF(LEN(Table_ErrorList[[#This Row],[Details Explanation (Line '#2)]])&gt;$U$5,"Too Long, Characters = "&amp;LEN(Table_ErrorList[[#This Row],[Details Explanation (Line '#2)]])," ")</f>
        <v xml:space="preserve"> </v>
      </c>
    </row>
    <row r="73" spans="1:22" s="30" customFormat="1" ht="30" x14ac:dyDescent="0.25">
      <c r="A73" s="101" t="b">
        <f>IF(
AND(Others_Date01&gt;0,NOT(OR(Others_Date01=0,Others_Date01="",Others_Date01=Dropdown_NotSelectedValue))),
NOT(AND(Field15_TravelStartDate&lt;=Others_Date01,Field16_TravelEndDate&gt;=Others_Date01)),FALSE)</f>
        <v>0</v>
      </c>
      <c r="B73" s="101">
        <f ca="1">IFERROR(INDIRECT(Table_ErrorList[[#This Row],[Attention To Named Range]]),"Error")</f>
        <v>43556</v>
      </c>
      <c r="C73" s="96">
        <v>701</v>
      </c>
      <c r="D73" s="96" t="str">
        <f ca="1">IF(Table_ErrorList[[#This Row],[Manual Hierarchy]]="",CONCATENATE(TEXT(Table_ErrorList[[#This Row],[Section '#]],"00"),"-",TEXT(COUNTIF($E73:OFFSET(Table_ErrorList[[#Headers],[Section '#]],1,0,1,1),Table_ErrorList[[#This Row],[Section '#]]),"000")),Table_ErrorList[[#This Row],[Manual Hierarchy]])</f>
        <v>07-002</v>
      </c>
      <c r="E73" s="98">
        <v>7</v>
      </c>
      <c r="F73" s="98" t="str">
        <f>IFERROR(VLOOKUP(Table_ErrorList[[#This Row],[Section '#]],Table_SectionNames[],MATCH(Table_SectionNames[[#Headers],[Name]],Table_SectionNames[#Headers],0),FALSE),"Not found")</f>
        <v>Other Expenses</v>
      </c>
      <c r="G73" s="98"/>
      <c r="H73" s="101" t="str">
        <f>IFERROR(VLOOKUP(Table_ErrorList[[#This Row],[Attention To Named Range]],Table_NamedRanges[],MATCH(Table_NamedRanges[[#Headers],[Reference Type]],Table_NamedRanges[#Headers],0),FALSE),"Error")</f>
        <v>Single Cell</v>
      </c>
      <c r="I73" s="96" t="s">
        <v>411</v>
      </c>
      <c r="J73" s="101" t="str">
        <f>IF(Table_ErrorList[[#This Row],[Manual Reference]]="",Table_ErrorList[[#This Row],[''Attention To'' Refence]],Table_ErrorList[[#This Row],[Manual Reference]])&amp;","</f>
        <v>$I$27,</v>
      </c>
      <c r="K73" s="101" t="str">
        <f>SUBSTITUTE(SUBSTITUTE(VLOOKUP(Table_ErrorList[[#This Row],[Attention To Named Range]],Table_NamedRanges[],MATCH(Table_NamedRanges[[#Headers],[Reference Text]],Table_NamedRanges[#Headers],0),FALSE),"=",""),"'Travel Expense Summary'!","")</f>
        <v>$I$27</v>
      </c>
      <c r="L73" s="101"/>
      <c r="M73" s="81" t="s">
        <v>414</v>
      </c>
      <c r="N73" s="81" t="s">
        <v>415</v>
      </c>
      <c r="O73" s="81" t="b">
        <v>1</v>
      </c>
      <c r="P73" s="100" t="s">
        <v>416</v>
      </c>
      <c r="Q73" s="100" t="s">
        <v>417</v>
      </c>
      <c r="R73"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73" s="81" t="b">
        <v>1</v>
      </c>
      <c r="T73" s="101" t="str">
        <f>IF(LEN(Table_ErrorList[[#This Row],[Message Bar Display]])&gt;$U$5,"Too Long, Characters = "&amp;LEN(Table_ErrorList[[#This Row],[Message Bar Display]])," ")</f>
        <v xml:space="preserve"> </v>
      </c>
      <c r="U73" s="101" t="str">
        <f>IF(LEN(Table_ErrorList[[#This Row],[Details Explanation (Line '#1)]])&gt;$U$5,"Too Long, Characters = "&amp;LEN(Table_ErrorList[[#This Row],[Details Explanation (Line '#1)]])," ")</f>
        <v xml:space="preserve"> </v>
      </c>
      <c r="V73" s="101" t="str">
        <f>IF(LEN(Table_ErrorList[[#This Row],[Details Explanation (Line '#2)]])&gt;$U$5,"Too Long, Characters = "&amp;LEN(Table_ErrorList[[#This Row],[Details Explanation (Line '#2)]])," ")</f>
        <v xml:space="preserve"> </v>
      </c>
    </row>
    <row r="74" spans="1:22" s="30" customFormat="1" ht="33.75" x14ac:dyDescent="0.25">
      <c r="A74" s="101" t="b">
        <f>AND(
OR(Others_Expense01=0,Others_Expense01="",Others_Expense01=Dropdown_NotSelectedValue),
COUNTA(Others_Date01,Others_Desc01, Others_From01, Others_To01, Others_Receipt01, Others_KM01)&gt;0)</f>
        <v>0</v>
      </c>
      <c r="B74" s="101" t="str">
        <f ca="1">IFERROR(INDIRECT(Table_ErrorList[[#This Row],[Attention To Named Range]]),"Error")</f>
        <v>Trans-Max Mileage</v>
      </c>
      <c r="C74" s="96">
        <v>710</v>
      </c>
      <c r="D74" s="96" t="str">
        <f ca="1">IF(Table_ErrorList[[#This Row],[Manual Hierarchy]]="",CONCATENATE(TEXT(Table_ErrorList[[#This Row],[Section '#]],"00"),"-",TEXT(COUNTIF($E74:OFFSET(Table_ErrorList[[#Headers],[Section '#]],1,0,1,1),Table_ErrorList[[#This Row],[Section '#]]),"000")),Table_ErrorList[[#This Row],[Manual Hierarchy]])</f>
        <v>07-003</v>
      </c>
      <c r="E74" s="98">
        <v>7</v>
      </c>
      <c r="F74" s="98" t="str">
        <f>IFERROR(VLOOKUP(Table_ErrorList[[#This Row],[Section '#]],Table_SectionNames[],MATCH(Table_SectionNames[[#Headers],[Name]],Table_SectionNames[#Headers],0),FALSE),"Not found")</f>
        <v>Other Expenses</v>
      </c>
      <c r="G74" s="98"/>
      <c r="H74" s="101" t="str">
        <f>IFERROR(VLOOKUP(Table_ErrorList[[#This Row],[Attention To Named Range]],Table_NamedRanges[],MATCH(Table_NamedRanges[[#Headers],[Reference Type]],Table_NamedRanges[#Headers],0),FALSE),"Error")</f>
        <v>Single Cell</v>
      </c>
      <c r="I74" s="96" t="s">
        <v>418</v>
      </c>
      <c r="J74" s="101" t="str">
        <f>IF(Table_ErrorList[[#This Row],[Manual Reference]]="",Table_ErrorList[[#This Row],[''Attention To'' Refence]],Table_ErrorList[[#This Row],[Manual Reference]])&amp;","</f>
        <v>$K$27,</v>
      </c>
      <c r="K74" s="101" t="str">
        <f>SUBSTITUTE(SUBSTITUTE(VLOOKUP(Table_ErrorList[[#This Row],[Attention To Named Range]],Table_NamedRanges[],MATCH(Table_NamedRanges[[#Headers],[Reference Text]],Table_NamedRanges[#Headers],0),FALSE),"=",""),"'Travel Expense Summary'!","")</f>
        <v>$K$27</v>
      </c>
      <c r="L74" s="101"/>
      <c r="M74" s="81" t="s">
        <v>419</v>
      </c>
      <c r="N74" s="81" t="s">
        <v>420</v>
      </c>
      <c r="O74" s="81" t="b">
        <v>1</v>
      </c>
      <c r="P74" s="100" t="s">
        <v>421</v>
      </c>
      <c r="Q74" s="100" t="s">
        <v>422</v>
      </c>
      <c r="R74"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74" s="81" t="b">
        <v>1</v>
      </c>
      <c r="T74" s="81" t="str">
        <f>IF(LEN(Table_ErrorList[[#This Row],[Message Bar Display]])&gt;$U$5,"Too Long, Characters = "&amp;LEN(Table_ErrorList[[#This Row],[Message Bar Display]])," ")</f>
        <v xml:space="preserve"> </v>
      </c>
      <c r="U74" s="81" t="str">
        <f>IF(LEN(Table_ErrorList[[#This Row],[Details Explanation (Line '#1)]])&gt;$U$5,"Too Long, Characters = "&amp;LEN(Table_ErrorList[[#This Row],[Details Explanation (Line '#1)]])," ")</f>
        <v xml:space="preserve"> </v>
      </c>
      <c r="V74" s="81" t="str">
        <f>IF(LEN(Table_ErrorList[[#This Row],[Details Explanation (Line '#2)]])&gt;$U$5,"Too Long, Characters = "&amp;LEN(Table_ErrorList[[#This Row],[Details Explanation (Line '#2)]])," ")</f>
        <v xml:space="preserve"> </v>
      </c>
    </row>
    <row r="75" spans="1:22" s="30" customFormat="1" ht="30" x14ac:dyDescent="0.25">
      <c r="A75" s="101" t="b">
        <f>IF(AND(ISBLANK(Others_Expense01)=FALSE,Others_Expense01&lt;&gt;Dropdown_NotSelectedValue),IFERROR(NOT(MATCH(Others_Expense01,Dropdown_Expenses,0)&gt;0),TRUE),FALSE)</f>
        <v>0</v>
      </c>
      <c r="B75" s="101" t="str">
        <f ca="1">IFERROR(INDIRECT(Table_ErrorList[[#This Row],[Attention To Named Range]]),"Error")</f>
        <v>Trans-Max Mileage</v>
      </c>
      <c r="C75" s="96">
        <v>711</v>
      </c>
      <c r="D75" s="96" t="str">
        <f ca="1">IF(Table_ErrorList[[#This Row],[Manual Hierarchy]]="",CONCATENATE(TEXT(Table_ErrorList[[#This Row],[Section '#]],"00"),"-",TEXT(COUNTIF($E75:OFFSET(Table_ErrorList[[#Headers],[Section '#]],1,0,1,1),Table_ErrorList[[#This Row],[Section '#]]),"000")),Table_ErrorList[[#This Row],[Manual Hierarchy]])</f>
        <v>07-004</v>
      </c>
      <c r="E75" s="98">
        <v>7</v>
      </c>
      <c r="F75" s="98" t="str">
        <f>IFERROR(VLOOKUP(Table_ErrorList[[#This Row],[Section '#]],Table_SectionNames[],MATCH(Table_SectionNames[[#Headers],[Name]],Table_SectionNames[#Headers],0),FALSE),"Not found")</f>
        <v>Other Expenses</v>
      </c>
      <c r="G75" s="98"/>
      <c r="H75" s="101" t="str">
        <f>IFERROR(VLOOKUP(Table_ErrorList[[#This Row],[Attention To Named Range]],Table_NamedRanges[],MATCH(Table_NamedRanges[[#Headers],[Reference Type]],Table_NamedRanges[#Headers],0),FALSE),"Error")</f>
        <v>Single Cell</v>
      </c>
      <c r="I75" s="96" t="s">
        <v>418</v>
      </c>
      <c r="J75" s="101" t="str">
        <f>IF(Table_ErrorList[[#This Row],[Manual Reference]]="",Table_ErrorList[[#This Row],[''Attention To'' Refence]],Table_ErrorList[[#This Row],[Manual Reference]])&amp;","</f>
        <v>$K$27,</v>
      </c>
      <c r="K75" s="101" t="str">
        <f>SUBSTITUTE(SUBSTITUTE(VLOOKUP(Table_ErrorList[[#This Row],[Attention To Named Range]],Table_NamedRanges[],MATCH(Table_NamedRanges[[#Headers],[Reference Text]],Table_NamedRanges[#Headers],0),FALSE),"=",""),"'Travel Expense Summary'!","")</f>
        <v>$K$27</v>
      </c>
      <c r="L75" s="101"/>
      <c r="M75" s="81" t="s">
        <v>423</v>
      </c>
      <c r="N75" s="81" t="s">
        <v>424</v>
      </c>
      <c r="O75" s="81" t="b">
        <v>1</v>
      </c>
      <c r="P75" s="100" t="s">
        <v>425</v>
      </c>
      <c r="Q75" s="100" t="s">
        <v>269</v>
      </c>
      <c r="R75"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75" s="81" t="b">
        <v>1</v>
      </c>
      <c r="T75" s="101" t="str">
        <f>IF(LEN(Table_ErrorList[[#This Row],[Message Bar Display]])&gt;$U$5,"Too Long, Characters = "&amp;LEN(Table_ErrorList[[#This Row],[Message Bar Display]])," ")</f>
        <v xml:space="preserve"> </v>
      </c>
      <c r="U75" s="101" t="str">
        <f>IF(LEN(Table_ErrorList[[#This Row],[Details Explanation (Line '#1)]])&gt;$U$5,"Too Long, Characters = "&amp;LEN(Table_ErrorList[[#This Row],[Details Explanation (Line '#1)]])," ")</f>
        <v xml:space="preserve"> </v>
      </c>
      <c r="V75" s="101" t="str">
        <f>IF(LEN(Table_ErrorList[[#This Row],[Details Explanation (Line '#2)]])&gt;$U$5,"Too Long, Characters = "&amp;LEN(Table_ErrorList[[#This Row],[Details Explanation (Line '#2)]])," ")</f>
        <v xml:space="preserve"> </v>
      </c>
    </row>
    <row r="76" spans="1:22" s="30" customFormat="1" ht="30" x14ac:dyDescent="0.25">
      <c r="A76" s="101" t="b">
        <f>AND(
VLOOKUP(Others_Expense01,Table_Expenses[],MATCH(Table_Expenses[[#Headers],[DescriptionRequired]],Table_Expenses[#Headers],0),FALSE),
OR(Others_Desc01=0,Others_Desc01="",Others_Desc01=Dropdown_NotSelectedValue),
COUNTA(Others_Date01,Others_Expense01,, Others_From01, Others_To01, Others_Receipt01, Others_KM01)&gt;0)</f>
        <v>0</v>
      </c>
      <c r="B76" s="101" t="str">
        <f ca="1">IFERROR(INDIRECT(Table_ErrorList[[#This Row],[Attention To Named Range]]),"Error")</f>
        <v>Round Trip travel to placement</v>
      </c>
      <c r="C76" s="96">
        <v>720</v>
      </c>
      <c r="D76" s="96" t="str">
        <f ca="1">IF(Table_ErrorList[[#This Row],[Manual Hierarchy]]="",CONCATENATE(TEXT(Table_ErrorList[[#This Row],[Section '#]],"00"),"-",TEXT(COUNTIF($E76:OFFSET(Table_ErrorList[[#Headers],[Section '#]],1,0,1,1),Table_ErrorList[[#This Row],[Section '#]]),"000")),Table_ErrorList[[#This Row],[Manual Hierarchy]])</f>
        <v>07-005</v>
      </c>
      <c r="E76" s="98">
        <v>7</v>
      </c>
      <c r="F76" s="98" t="str">
        <f>IFERROR(VLOOKUP(Table_ErrorList[[#This Row],[Section '#]],Table_SectionNames[],MATCH(Table_SectionNames[[#Headers],[Name]],Table_SectionNames[#Headers],0),FALSE),"Not found")</f>
        <v>Other Expenses</v>
      </c>
      <c r="G76" s="98"/>
      <c r="H76" s="101" t="str">
        <f>IFERROR(VLOOKUP(Table_ErrorList[[#This Row],[Attention To Named Range]],Table_NamedRanges[],MATCH(Table_NamedRanges[[#Headers],[Reference Type]],Table_NamedRanges[#Headers],0),FALSE),"Error")</f>
        <v>Single Cell</v>
      </c>
      <c r="I76" s="96" t="s">
        <v>426</v>
      </c>
      <c r="J76" s="101" t="str">
        <f>IF(Table_ErrorList[[#This Row],[Manual Reference]]="",Table_ErrorList[[#This Row],[''Attention To'' Refence]],Table_ErrorList[[#This Row],[Manual Reference]])&amp;","</f>
        <v>$M$27,</v>
      </c>
      <c r="K76" s="101" t="str">
        <f>SUBSTITUTE(SUBSTITUTE(VLOOKUP(Table_ErrorList[[#This Row],[Attention To Named Range]],Table_NamedRanges[],MATCH(Table_NamedRanges[[#Headers],[Reference Text]],Table_NamedRanges[#Headers],0),FALSE),"=",""),"'Travel Expense Summary'!","")</f>
        <v>$M$27</v>
      </c>
      <c r="L76" s="101"/>
      <c r="M76" s="81" t="s">
        <v>427</v>
      </c>
      <c r="N76" s="81" t="s">
        <v>428</v>
      </c>
      <c r="O76" s="81" t="b">
        <v>1</v>
      </c>
      <c r="P76" s="100" t="s">
        <v>429</v>
      </c>
      <c r="Q76" s="100" t="s">
        <v>430</v>
      </c>
      <c r="R76"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76" s="81" t="b">
        <v>1</v>
      </c>
      <c r="T76" s="81" t="str">
        <f>IF(LEN(Table_ErrorList[[#This Row],[Message Bar Display]])&gt;$U$5,"Too Long, Characters = "&amp;LEN(Table_ErrorList[[#This Row],[Message Bar Display]])," ")</f>
        <v xml:space="preserve"> </v>
      </c>
      <c r="U76" s="81" t="str">
        <f>IF(LEN(Table_ErrorList[[#This Row],[Details Explanation (Line '#1)]])&gt;$U$5,"Too Long, Characters = "&amp;LEN(Table_ErrorList[[#This Row],[Details Explanation (Line '#1)]])," ")</f>
        <v xml:space="preserve"> </v>
      </c>
      <c r="V76" s="81" t="str">
        <f>IF(LEN(Table_ErrorList[[#This Row],[Details Explanation (Line '#2)]])&gt;$U$5,"Too Long, Characters = "&amp;LEN(Table_ErrorList[[#This Row],[Details Explanation (Line '#2)]])," ")</f>
        <v xml:space="preserve"> </v>
      </c>
    </row>
    <row r="77" spans="1:22" s="30" customFormat="1" ht="30" x14ac:dyDescent="0.25">
      <c r="A77" s="101" t="b">
        <f>AND(
VLOOKUP(Others_Expense01,Table_Expenses[],MATCH(Table_Expenses[[#Headers],[FromRequired]],Table_Expenses[#Headers],0),FALSE),
OR(Others_From01=0,Others_From01="",Others_From01=Dropdown_NotSelectedValue),
COUNTA(Others_Date01,Others_Expense01,Others_Desc01, Others_To01, Others_Receipt01, Others_KM01)&gt;0)</f>
        <v>0</v>
      </c>
      <c r="B77" s="101" t="str">
        <f ca="1">IFERROR(INDIRECT(Table_ErrorList[[#This Row],[Attention To Named Range]]),"Error")</f>
        <v>Toronto</v>
      </c>
      <c r="C77" s="96">
        <v>730</v>
      </c>
      <c r="D77" s="96" t="str">
        <f ca="1">IF(Table_ErrorList[[#This Row],[Manual Hierarchy]]="",CONCATENATE(TEXT(Table_ErrorList[[#This Row],[Section '#]],"00"),"-",TEXT(COUNTIF($E77:OFFSET(Table_ErrorList[[#Headers],[Section '#]],1,0,1,1),Table_ErrorList[[#This Row],[Section '#]]),"000")),Table_ErrorList[[#This Row],[Manual Hierarchy]])</f>
        <v>07-006</v>
      </c>
      <c r="E77" s="98">
        <v>7</v>
      </c>
      <c r="F77" s="98" t="str">
        <f>IFERROR(VLOOKUP(Table_ErrorList[[#This Row],[Section '#]],Table_SectionNames[],MATCH(Table_SectionNames[[#Headers],[Name]],Table_SectionNames[#Headers],0),FALSE),"Not found")</f>
        <v>Other Expenses</v>
      </c>
      <c r="G77" s="98"/>
      <c r="H77" s="101" t="str">
        <f>IFERROR(VLOOKUP(Table_ErrorList[[#This Row],[Attention To Named Range]],Table_NamedRanges[],MATCH(Table_NamedRanges[[#Headers],[Reference Type]],Table_NamedRanges[#Headers],0),FALSE),"Error")</f>
        <v>Single Cell</v>
      </c>
      <c r="I77" s="96" t="s">
        <v>431</v>
      </c>
      <c r="J77" s="101" t="str">
        <f>IF(Table_ErrorList[[#This Row],[Manual Reference]]="",Table_ErrorList[[#This Row],[''Attention To'' Refence]],Table_ErrorList[[#This Row],[Manual Reference]])&amp;","</f>
        <v>$R$27,</v>
      </c>
      <c r="K77" s="101" t="str">
        <f>SUBSTITUTE(SUBSTITUTE(VLOOKUP(Table_ErrorList[[#This Row],[Attention To Named Range]],Table_NamedRanges[],MATCH(Table_NamedRanges[[#Headers],[Reference Text]],Table_NamedRanges[#Headers],0),FALSE),"=",""),"'Travel Expense Summary'!","")</f>
        <v>$R$27</v>
      </c>
      <c r="L77" s="101"/>
      <c r="M77" s="81" t="s">
        <v>432</v>
      </c>
      <c r="N77" s="81" t="s">
        <v>433</v>
      </c>
      <c r="O77" s="81" t="b">
        <v>1</v>
      </c>
      <c r="P77" s="100" t="s">
        <v>434</v>
      </c>
      <c r="Q77" s="100" t="s">
        <v>435</v>
      </c>
      <c r="R77"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77" s="81" t="b">
        <v>1</v>
      </c>
      <c r="T77" s="81" t="str">
        <f>IF(LEN(Table_ErrorList[[#This Row],[Message Bar Display]])&gt;$U$5,"Too Long, Characters = "&amp;LEN(Table_ErrorList[[#This Row],[Message Bar Display]])," ")</f>
        <v xml:space="preserve"> </v>
      </c>
      <c r="U77" s="81" t="str">
        <f>IF(LEN(Table_ErrorList[[#This Row],[Details Explanation (Line '#1)]])&gt;$U$5,"Too Long, Characters = "&amp;LEN(Table_ErrorList[[#This Row],[Details Explanation (Line '#1)]])," ")</f>
        <v xml:space="preserve"> </v>
      </c>
      <c r="V77" s="81" t="str">
        <f>IF(LEN(Table_ErrorList[[#This Row],[Details Explanation (Line '#2)]])&gt;$U$5,"Too Long, Characters = "&amp;LEN(Table_ErrorList[[#This Row],[Details Explanation (Line '#2)]])," ")</f>
        <v xml:space="preserve"> </v>
      </c>
    </row>
    <row r="78" spans="1:22" s="30" customFormat="1" ht="30" x14ac:dyDescent="0.25">
      <c r="A78" s="101" t="b">
        <f>AND(
VLOOKUP(Others_Expense01,Table_Expenses[],MATCH(Table_Expenses[[#Headers],[ToRequired]],Table_Expenses[#Headers],0),FALSE),
OR(Others_To01=0,Others_To01="",Others_To01=Dropdown_NotSelectedValue),
COUNTA(Others_Date01,Others_Expense01,Others_Desc01, Others_From01, Others_Receipt01, Others_KM01)&gt;0)</f>
        <v>0</v>
      </c>
      <c r="B78" s="101" t="str">
        <f ca="1">IFERROR(INDIRECT(Table_ErrorList[[#This Row],[Attention To Named Range]]),"Error")</f>
        <v>Thunder Bay</v>
      </c>
      <c r="C78" s="96">
        <v>740</v>
      </c>
      <c r="D78" s="96" t="str">
        <f ca="1">IF(Table_ErrorList[[#This Row],[Manual Hierarchy]]="",CONCATENATE(TEXT(Table_ErrorList[[#This Row],[Section '#]],"00"),"-",TEXT(COUNTIF($E78:OFFSET(Table_ErrorList[[#Headers],[Section '#]],1,0,1,1),Table_ErrorList[[#This Row],[Section '#]]),"000")),Table_ErrorList[[#This Row],[Manual Hierarchy]])</f>
        <v>07-007</v>
      </c>
      <c r="E78" s="98">
        <v>7</v>
      </c>
      <c r="F78" s="98" t="str">
        <f>IFERROR(VLOOKUP(Table_ErrorList[[#This Row],[Section '#]],Table_SectionNames[],MATCH(Table_SectionNames[[#Headers],[Name]],Table_SectionNames[#Headers],0),FALSE),"Not found")</f>
        <v>Other Expenses</v>
      </c>
      <c r="G78" s="98"/>
      <c r="H78" s="101" t="str">
        <f>IFERROR(VLOOKUP(Table_ErrorList[[#This Row],[Attention To Named Range]],Table_NamedRanges[],MATCH(Table_NamedRanges[[#Headers],[Reference Type]],Table_NamedRanges[#Headers],0),FALSE),"Error")</f>
        <v>Single Cell</v>
      </c>
      <c r="I78" s="96" t="s">
        <v>436</v>
      </c>
      <c r="J78" s="101" t="str">
        <f>IF(Table_ErrorList[[#This Row],[Manual Reference]]="",Table_ErrorList[[#This Row],[''Attention To'' Refence]],Table_ErrorList[[#This Row],[Manual Reference]])&amp;","</f>
        <v>$T$27,</v>
      </c>
      <c r="K78" s="101" t="str">
        <f>SUBSTITUTE(SUBSTITUTE(VLOOKUP(Table_ErrorList[[#This Row],[Attention To Named Range]],Table_NamedRanges[],MATCH(Table_NamedRanges[[#Headers],[Reference Text]],Table_NamedRanges[#Headers],0),FALSE),"=",""),"'Travel Expense Summary'!","")</f>
        <v>$T$27</v>
      </c>
      <c r="L78" s="101"/>
      <c r="M78" s="81" t="s">
        <v>437</v>
      </c>
      <c r="N78" s="81" t="s">
        <v>438</v>
      </c>
      <c r="O78" s="81" t="b">
        <v>1</v>
      </c>
      <c r="P78" s="100" t="s">
        <v>439</v>
      </c>
      <c r="Q78" s="100" t="s">
        <v>435</v>
      </c>
      <c r="R78"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78" s="81" t="b">
        <v>1</v>
      </c>
      <c r="T78" s="81" t="str">
        <f>IF(LEN(Table_ErrorList[[#This Row],[Message Bar Display]])&gt;$U$5,"Too Long, Characters = "&amp;LEN(Table_ErrorList[[#This Row],[Message Bar Display]])," ")</f>
        <v xml:space="preserve"> </v>
      </c>
      <c r="U78" s="81" t="str">
        <f>IF(LEN(Table_ErrorList[[#This Row],[Details Explanation (Line '#1)]])&gt;$U$5,"Too Long, Characters = "&amp;LEN(Table_ErrorList[[#This Row],[Details Explanation (Line '#1)]])," ")</f>
        <v xml:space="preserve"> </v>
      </c>
      <c r="V78" s="81" t="str">
        <f>IF(LEN(Table_ErrorList[[#This Row],[Details Explanation (Line '#2)]])&gt;$U$5,"Too Long, Characters = "&amp;LEN(Table_ErrorList[[#This Row],[Details Explanation (Line '#2)]])," ")</f>
        <v xml:space="preserve"> </v>
      </c>
    </row>
    <row r="79" spans="1:22" s="30" customFormat="1" ht="33.75" x14ac:dyDescent="0.25">
      <c r="A79" s="101" t="b">
        <f>AND(
VLOOKUP(Others_Expense01,Table_Expenses[],MATCH(Table_Expenses[[#Headers],[ReceiptRequired]],Table_Expenses[#Headers],0),FALSE),
OR(Others_Receipt01=0,Others_Receipt01="",Others_Receipt01=Dropdown_NotSelectedValue),
COUNTA(Others_Date01,Others_Expense01,Others_Desc01, Others_From01, Others_To01, Others_KM01)&gt;0)</f>
        <v>0</v>
      </c>
      <c r="B79" s="101">
        <f ca="1">IFERROR(INDIRECT(Table_ErrorList[[#This Row],[Attention To Named Range]]),"Error")</f>
        <v>400</v>
      </c>
      <c r="C79" s="96">
        <v>750</v>
      </c>
      <c r="D79" s="96" t="str">
        <f ca="1">IF(Table_ErrorList[[#This Row],[Manual Hierarchy]]="",CONCATENATE(TEXT(Table_ErrorList[[#This Row],[Section '#]],"00"),"-",TEXT(COUNTIF($E79:OFFSET(Table_ErrorList[[#Headers],[Section '#]],1,0,1,1),Table_ErrorList[[#This Row],[Section '#]]),"000")),Table_ErrorList[[#This Row],[Manual Hierarchy]])</f>
        <v>07-008</v>
      </c>
      <c r="E79" s="98">
        <v>7</v>
      </c>
      <c r="F79" s="98" t="str">
        <f>IFERROR(VLOOKUP(Table_ErrorList[[#This Row],[Section '#]],Table_SectionNames[],MATCH(Table_SectionNames[[#Headers],[Name]],Table_SectionNames[#Headers],0),FALSE),"Not found")</f>
        <v>Other Expenses</v>
      </c>
      <c r="G79" s="98"/>
      <c r="H79" s="101" t="str">
        <f>IFERROR(VLOOKUP(Table_ErrorList[[#This Row],[Attention To Named Range]],Table_NamedRanges[],MATCH(Table_NamedRanges[[#Headers],[Reference Type]],Table_NamedRanges[#Headers],0),FALSE),"Error")</f>
        <v>Single Cell</v>
      </c>
      <c r="I79" s="96" t="s">
        <v>440</v>
      </c>
      <c r="J79" s="101" t="str">
        <f>IF(Table_ErrorList[[#This Row],[Manual Reference]]="",Table_ErrorList[[#This Row],[''Attention To'' Refence]],Table_ErrorList[[#This Row],[Manual Reference]])&amp;","</f>
        <v>$X$27,</v>
      </c>
      <c r="K79" s="101" t="str">
        <f>SUBSTITUTE(SUBSTITUTE(VLOOKUP(Table_ErrorList[[#This Row],[Attention To Named Range]],Table_NamedRanges[],MATCH(Table_NamedRanges[[#Headers],[Reference Text]],Table_NamedRanges[#Headers],0),FALSE),"=",""),"'Travel Expense Summary'!","")</f>
        <v>$X$27</v>
      </c>
      <c r="L79" s="101"/>
      <c r="M79" s="81" t="s">
        <v>441</v>
      </c>
      <c r="N79" s="81" t="s">
        <v>442</v>
      </c>
      <c r="O79" s="81" t="b">
        <v>1</v>
      </c>
      <c r="P79" s="100" t="s">
        <v>443</v>
      </c>
      <c r="Q79" s="100" t="s">
        <v>364</v>
      </c>
      <c r="R79"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79" s="81" t="b">
        <v>1</v>
      </c>
      <c r="T79" s="81" t="str">
        <f>IF(LEN(Table_ErrorList[[#This Row],[Message Bar Display]])&gt;$U$5,"Too Long, Characters = "&amp;LEN(Table_ErrorList[[#This Row],[Message Bar Display]])," ")</f>
        <v xml:space="preserve"> </v>
      </c>
      <c r="U79" s="81" t="str">
        <f>IF(LEN(Table_ErrorList[[#This Row],[Details Explanation (Line '#1)]])&gt;$U$5,"Too Long, Characters = "&amp;LEN(Table_ErrorList[[#This Row],[Details Explanation (Line '#1)]])," ")</f>
        <v xml:space="preserve"> </v>
      </c>
      <c r="V79" s="81" t="str">
        <f>IF(LEN(Table_ErrorList[[#This Row],[Details Explanation (Line '#2)]])&gt;$U$5,"Too Long, Characters = "&amp;LEN(Table_ErrorList[[#This Row],[Details Explanation (Line '#2)]])," ")</f>
        <v xml:space="preserve"> </v>
      </c>
    </row>
    <row r="80" spans="1:22" s="30" customFormat="1" ht="45" x14ac:dyDescent="0.25">
      <c r="A80" s="101" t="b">
        <f>AND(
VLOOKUP(Others_Expense01,Table_Expenses[],MATCH(Table_Expenses[[#Headers],[KMRequired]],Table_Expenses[#Headers],0),FALSE),
OR(Others_KM01=0,Others_KM01="",Others_KM01=Dropdown_NotSelectedValue),
COUNTA(Others_Date01,Others_Expense01,Others_Desc01, Others_From01, Others_To01, Others_Receipt01)&gt;0)</f>
        <v>0</v>
      </c>
      <c r="B80" s="101">
        <f ca="1">IFERROR(INDIRECT(Table_ErrorList[[#This Row],[Attention To Named Range]]),"Error")</f>
        <v>2810</v>
      </c>
      <c r="C80" s="96">
        <v>760</v>
      </c>
      <c r="D80" s="96" t="str">
        <f ca="1">IF(Table_ErrorList[[#This Row],[Manual Hierarchy]]="",CONCATENATE(TEXT(Table_ErrorList[[#This Row],[Section '#]],"00"),"-",TEXT(COUNTIF($E80:OFFSET(Table_ErrorList[[#Headers],[Section '#]],1,0,1,1),Table_ErrorList[[#This Row],[Section '#]]),"000")),Table_ErrorList[[#This Row],[Manual Hierarchy]])</f>
        <v>07-009</v>
      </c>
      <c r="E80" s="98">
        <v>7</v>
      </c>
      <c r="F80" s="98" t="str">
        <f>IFERROR(VLOOKUP(Table_ErrorList[[#This Row],[Section '#]],Table_SectionNames[],MATCH(Table_SectionNames[[#Headers],[Name]],Table_SectionNames[#Headers],0),FALSE),"Not found")</f>
        <v>Other Expenses</v>
      </c>
      <c r="G80" s="98"/>
      <c r="H80" s="101" t="str">
        <f>IFERROR(VLOOKUP(Table_ErrorList[[#This Row],[Attention To Named Range]],Table_NamedRanges[],MATCH(Table_NamedRanges[[#Headers],[Reference Type]],Table_NamedRanges[#Headers],0),FALSE),"Error")</f>
        <v>Single Cell</v>
      </c>
      <c r="I80" s="96" t="s">
        <v>444</v>
      </c>
      <c r="J80" s="101" t="str">
        <f>IF(Table_ErrorList[[#This Row],[Manual Reference]]="",Table_ErrorList[[#This Row],[''Attention To'' Refence]],Table_ErrorList[[#This Row],[Manual Reference]])&amp;","</f>
        <v>$Y$27,</v>
      </c>
      <c r="K80" s="101" t="str">
        <f>SUBSTITUTE(SUBSTITUTE(VLOOKUP(Table_ErrorList[[#This Row],[Attention To Named Range]],Table_NamedRanges[],MATCH(Table_NamedRanges[[#Headers],[Reference Text]],Table_NamedRanges[#Headers],0),FALSE),"=",""),"'Travel Expense Summary'!","")</f>
        <v>$Y$27</v>
      </c>
      <c r="L80" s="101"/>
      <c r="M80" s="81" t="s">
        <v>445</v>
      </c>
      <c r="N80" s="81" t="s">
        <v>446</v>
      </c>
      <c r="O80" s="81" t="b">
        <v>1</v>
      </c>
      <c r="P80" s="100" t="s">
        <v>447</v>
      </c>
      <c r="Q80" s="100" t="s">
        <v>448</v>
      </c>
      <c r="R80" s="102" t="str">
        <f>CONCATENATE(Table_ErrorList[[#This Row],[Details Explanation (Line '#1)]],IF(Table_ErrorList[[#This Row],[Details Explanation (Line '#2)]]&lt;&gt;"",CHAR(10)&amp;Table_ErrorList[[#This Row],[Details Explanation (Line '#2)]],""))</f>
        <v>Enter 'KMs Travelled' for the item listed. You can claim the roundtrip KMs on a single line or claim each leg of your trip on separate lines. 
Consult the 'Kilometer Matrix' for pre-established distances between most communities. KMs should be rounded to the nearest full KM.</v>
      </c>
      <c r="S80" s="81" t="b">
        <v>1</v>
      </c>
      <c r="T80" s="81" t="str">
        <f>IF(LEN(Table_ErrorList[[#This Row],[Message Bar Display]])&gt;$U$5,"Too Long, Characters = "&amp;LEN(Table_ErrorList[[#This Row],[Message Bar Display]])," ")</f>
        <v xml:space="preserve"> </v>
      </c>
      <c r="U80" s="81" t="str">
        <f>IF(LEN(Table_ErrorList[[#This Row],[Details Explanation (Line '#1)]])&gt;$U$5,"Too Long, Characters = "&amp;LEN(Table_ErrorList[[#This Row],[Details Explanation (Line '#1)]])," ")</f>
        <v xml:space="preserve"> </v>
      </c>
      <c r="V80" s="81" t="str">
        <f>IF(LEN(Table_ErrorList[[#This Row],[Details Explanation (Line '#2)]])&gt;$U$5,"Too Long, Characters = "&amp;LEN(Table_ErrorList[[#This Row],[Details Explanation (Line '#2)]])," ")</f>
        <v xml:space="preserve"> </v>
      </c>
    </row>
    <row r="81" spans="1:22" s="30" customFormat="1" ht="30" x14ac:dyDescent="0.25">
      <c r="A81" s="101" t="b">
        <f>AND(
OR(Others_Date02=0,Others_Date02="",Others_Date02=Dropdown_NotSelectedValue),
COUNTA(Others_Expense02,Others_Desc02, Others_From02, Others_To02, Others_Receipt02, Others_KM02)&gt;0)</f>
        <v>0</v>
      </c>
      <c r="B81" s="101">
        <f ca="1">IFERROR(INDIRECT(Table_ErrorList[[#This Row],[Attention To Named Range]]),"Error")</f>
        <v>43556</v>
      </c>
      <c r="C81" s="96">
        <v>800</v>
      </c>
      <c r="D81" s="96" t="str">
        <f ca="1">IF(Table_ErrorList[[#This Row],[Manual Hierarchy]]="",CONCATENATE(TEXT(Table_ErrorList[[#This Row],[Section '#]],"00"),"-",TEXT(COUNTIF($E81:OFFSET(Table_ErrorList[[#Headers],[Section '#]],1,0,1,1),Table_ErrorList[[#This Row],[Section '#]]),"000")),Table_ErrorList[[#This Row],[Manual Hierarchy]])</f>
        <v>07-010</v>
      </c>
      <c r="E81" s="98">
        <v>7</v>
      </c>
      <c r="F81" s="98" t="str">
        <f>IFERROR(VLOOKUP(Table_ErrorList[[#This Row],[Section '#]],Table_SectionNames[],MATCH(Table_SectionNames[[#Headers],[Name]],Table_SectionNames[#Headers],0),FALSE),"Not found")</f>
        <v>Other Expenses</v>
      </c>
      <c r="G81" s="98"/>
      <c r="H81" s="101" t="str">
        <f>IFERROR(VLOOKUP(Table_ErrorList[[#This Row],[Attention To Named Range]],Table_NamedRanges[],MATCH(Table_NamedRanges[[#Headers],[Reference Type]],Table_NamedRanges[#Headers],0),FALSE),"Error")</f>
        <v>Single Cell</v>
      </c>
      <c r="I81" s="96" t="s">
        <v>449</v>
      </c>
      <c r="J81" s="101" t="str">
        <f>IF(Table_ErrorList[[#This Row],[Manual Reference]]="",Table_ErrorList[[#This Row],[''Attention To'' Refence]],Table_ErrorList[[#This Row],[Manual Reference]])&amp;","</f>
        <v>$I$28,</v>
      </c>
      <c r="K81" s="101" t="str">
        <f>SUBSTITUTE(SUBSTITUTE(VLOOKUP(Table_ErrorList[[#This Row],[Attention To Named Range]],Table_NamedRanges[],MATCH(Table_NamedRanges[[#Headers],[Reference Text]],Table_NamedRanges[#Headers],0),FALSE),"=",""),"'Travel Expense Summary'!","")</f>
        <v>$I$28</v>
      </c>
      <c r="L81" s="101"/>
      <c r="M81" s="81" t="s">
        <v>450</v>
      </c>
      <c r="N81" s="81" t="s">
        <v>451</v>
      </c>
      <c r="O81" s="81" t="b">
        <v>1</v>
      </c>
      <c r="P81" s="100" t="s">
        <v>354</v>
      </c>
      <c r="Q81" s="100" t="s">
        <v>355</v>
      </c>
      <c r="R81"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81" s="81" t="b">
        <v>1</v>
      </c>
      <c r="T81" s="81" t="str">
        <f>IF(LEN(Table_ErrorList[[#This Row],[Message Bar Display]])&gt;$U$5,"Too Long, Characters = "&amp;LEN(Table_ErrorList[[#This Row],[Message Bar Display]])," ")</f>
        <v xml:space="preserve"> </v>
      </c>
      <c r="U81" s="81" t="str">
        <f>IF(LEN(Table_ErrorList[[#This Row],[Details Explanation (Line '#1)]])&gt;$U$5,"Too Long, Characters = "&amp;LEN(Table_ErrorList[[#This Row],[Details Explanation (Line '#1)]])," ")</f>
        <v xml:space="preserve"> </v>
      </c>
      <c r="V81" s="81" t="str">
        <f>IF(LEN(Table_ErrorList[[#This Row],[Details Explanation (Line '#2)]])&gt;$U$5,"Too Long, Characters = "&amp;LEN(Table_ErrorList[[#This Row],[Details Explanation (Line '#2)]])," ")</f>
        <v xml:space="preserve"> </v>
      </c>
    </row>
    <row r="82" spans="1:22" s="30" customFormat="1" ht="30" x14ac:dyDescent="0.25">
      <c r="A82" s="101" t="b">
        <f>IF(
AND(Others_Date02&gt;0,NOT(OR(Others_Date02=0,Others_Date02="",Others_Date02=Dropdown_NotSelectedValue))),
NOT(AND(Field15_TravelStartDate&lt;=Others_Date02,Field16_TravelEndDate&gt;=Others_Date02)),FALSE)</f>
        <v>0</v>
      </c>
      <c r="B82" s="101">
        <f ca="1">IFERROR(INDIRECT(Table_ErrorList[[#This Row],[Attention To Named Range]]),"Error")</f>
        <v>43556</v>
      </c>
      <c r="C82" s="96">
        <v>801</v>
      </c>
      <c r="D82" s="96" t="str">
        <f ca="1">IF(Table_ErrorList[[#This Row],[Manual Hierarchy]]="",CONCATENATE(TEXT(Table_ErrorList[[#This Row],[Section '#]],"00"),"-",TEXT(COUNTIF($E82:OFFSET(Table_ErrorList[[#Headers],[Section '#]],1,0,1,1),Table_ErrorList[[#This Row],[Section '#]]),"000")),Table_ErrorList[[#This Row],[Manual Hierarchy]])</f>
        <v>07-011</v>
      </c>
      <c r="E82" s="98">
        <v>7</v>
      </c>
      <c r="F82" s="98" t="str">
        <f>IFERROR(VLOOKUP(Table_ErrorList[[#This Row],[Section '#]],Table_SectionNames[],MATCH(Table_SectionNames[[#Headers],[Name]],Table_SectionNames[#Headers],0),FALSE),"Not found")</f>
        <v>Other Expenses</v>
      </c>
      <c r="G82" s="98"/>
      <c r="H82" s="101" t="str">
        <f>IFERROR(VLOOKUP(Table_ErrorList[[#This Row],[Attention To Named Range]],Table_NamedRanges[],MATCH(Table_NamedRanges[[#Headers],[Reference Type]],Table_NamedRanges[#Headers],0),FALSE),"Error")</f>
        <v>Single Cell</v>
      </c>
      <c r="I82" s="96" t="s">
        <v>449</v>
      </c>
      <c r="J82" s="101" t="str">
        <f>IF(Table_ErrorList[[#This Row],[Manual Reference]]="",Table_ErrorList[[#This Row],[''Attention To'' Refence]],Table_ErrorList[[#This Row],[Manual Reference]])&amp;","</f>
        <v>$I$28,</v>
      </c>
      <c r="K82" s="101" t="str">
        <f>SUBSTITUTE(SUBSTITUTE(VLOOKUP(Table_ErrorList[[#This Row],[Attention To Named Range]],Table_NamedRanges[],MATCH(Table_NamedRanges[[#Headers],[Reference Text]],Table_NamedRanges[#Headers],0),FALSE),"=",""),"'Travel Expense Summary'!","")</f>
        <v>$I$28</v>
      </c>
      <c r="L82" s="101"/>
      <c r="M82" s="81" t="s">
        <v>452</v>
      </c>
      <c r="N82" s="81" t="s">
        <v>415</v>
      </c>
      <c r="O82" s="81" t="b">
        <v>1</v>
      </c>
      <c r="P82" s="100" t="s">
        <v>416</v>
      </c>
      <c r="Q82" s="100" t="s">
        <v>417</v>
      </c>
      <c r="R82"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82" s="81" t="b">
        <v>1</v>
      </c>
      <c r="T82" s="101" t="str">
        <f>IF(LEN(Table_ErrorList[[#This Row],[Message Bar Display]])&gt;$U$5,"Too Long, Characters = "&amp;LEN(Table_ErrorList[[#This Row],[Message Bar Display]])," ")</f>
        <v xml:space="preserve"> </v>
      </c>
      <c r="U82" s="101" t="str">
        <f>IF(LEN(Table_ErrorList[[#This Row],[Details Explanation (Line '#1)]])&gt;$U$5,"Too Long, Characters = "&amp;LEN(Table_ErrorList[[#This Row],[Details Explanation (Line '#1)]])," ")</f>
        <v xml:space="preserve"> </v>
      </c>
      <c r="V82" s="101" t="str">
        <f>IF(LEN(Table_ErrorList[[#This Row],[Details Explanation (Line '#2)]])&gt;$U$5,"Too Long, Characters = "&amp;LEN(Table_ErrorList[[#This Row],[Details Explanation (Line '#2)]])," ")</f>
        <v xml:space="preserve"> </v>
      </c>
    </row>
    <row r="83" spans="1:22" ht="33.75" x14ac:dyDescent="0.25">
      <c r="A83" s="101" t="b">
        <f>AND(
OR(Others_Expense02=0,Others_Expense02="",Others_Expense02=Dropdown_NotSelectedValue),
COUNTA(Others_Date02,Others_Desc02, Others_From02, Others_To02, Others_Receipt02, Others_KM02)&gt;0)</f>
        <v>0</v>
      </c>
      <c r="B83" s="101" t="str">
        <f ca="1">IFERROR(INDIRECT(Table_ErrorList[[#This Row],[Attention To Named Range]]),"Error")</f>
        <v>Accomm-Hotel/Motel</v>
      </c>
      <c r="C83" s="96">
        <v>810</v>
      </c>
      <c r="D83" s="96" t="str">
        <f ca="1">IF(Table_ErrorList[[#This Row],[Manual Hierarchy]]="",CONCATENATE(TEXT(Table_ErrorList[[#This Row],[Section '#]],"00"),"-",TEXT(COUNTIF($E83:OFFSET(Table_ErrorList[[#Headers],[Section '#]],1,0,1,1),Table_ErrorList[[#This Row],[Section '#]]),"000")),Table_ErrorList[[#This Row],[Manual Hierarchy]])</f>
        <v>07-012</v>
      </c>
      <c r="E83" s="98">
        <v>7</v>
      </c>
      <c r="F83" s="98" t="str">
        <f>IFERROR(VLOOKUP(Table_ErrorList[[#This Row],[Section '#]],Table_SectionNames[],MATCH(Table_SectionNames[[#Headers],[Name]],Table_SectionNames[#Headers],0),FALSE),"Not found")</f>
        <v>Other Expenses</v>
      </c>
      <c r="G83" s="98"/>
      <c r="H83" s="101" t="str">
        <f>IFERROR(VLOOKUP(Table_ErrorList[[#This Row],[Attention To Named Range]],Table_NamedRanges[],MATCH(Table_NamedRanges[[#Headers],[Reference Type]],Table_NamedRanges[#Headers],0),FALSE),"Error")</f>
        <v>Single Cell</v>
      </c>
      <c r="I83" s="96" t="s">
        <v>453</v>
      </c>
      <c r="J83" s="101" t="str">
        <f>IF(Table_ErrorList[[#This Row],[Manual Reference]]="",Table_ErrorList[[#This Row],[''Attention To'' Refence]],Table_ErrorList[[#This Row],[Manual Reference]])&amp;","</f>
        <v>$K$28,</v>
      </c>
      <c r="K83" s="101" t="str">
        <f>SUBSTITUTE(SUBSTITUTE(VLOOKUP(Table_ErrorList[[#This Row],[Attention To Named Range]],Table_NamedRanges[],MATCH(Table_NamedRanges[[#Headers],[Reference Text]],Table_NamedRanges[#Headers],0),FALSE),"=",""),"'Travel Expense Summary'!","")</f>
        <v>$K$28</v>
      </c>
      <c r="L83" s="101"/>
      <c r="M83" s="81" t="s">
        <v>454</v>
      </c>
      <c r="N83" s="81" t="s">
        <v>455</v>
      </c>
      <c r="O83" s="81" t="b">
        <v>1</v>
      </c>
      <c r="P83" s="100" t="s">
        <v>421</v>
      </c>
      <c r="Q83" s="100" t="s">
        <v>422</v>
      </c>
      <c r="R83"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83" s="81" t="b">
        <v>1</v>
      </c>
      <c r="T83" s="81" t="str">
        <f>IF(LEN(Table_ErrorList[[#This Row],[Message Bar Display]])&gt;$U$5,"Too Long, Characters = "&amp;LEN(Table_ErrorList[[#This Row],[Message Bar Display]])," ")</f>
        <v xml:space="preserve"> </v>
      </c>
      <c r="U83" s="81" t="str">
        <f>IF(LEN(Table_ErrorList[[#This Row],[Details Explanation (Line '#1)]])&gt;$U$5,"Too Long, Characters = "&amp;LEN(Table_ErrorList[[#This Row],[Details Explanation (Line '#1)]])," ")</f>
        <v xml:space="preserve"> </v>
      </c>
      <c r="V83" s="81" t="str">
        <f>IF(LEN(Table_ErrorList[[#This Row],[Details Explanation (Line '#2)]])&gt;$U$5,"Too Long, Characters = "&amp;LEN(Table_ErrorList[[#This Row],[Details Explanation (Line '#2)]])," ")</f>
        <v xml:space="preserve"> </v>
      </c>
    </row>
    <row r="84" spans="1:22" s="30" customFormat="1" ht="30" x14ac:dyDescent="0.25">
      <c r="A84" s="101" t="b">
        <f>IF(AND(ISBLANK(Others_Expense02)=FALSE,Others_Expense02&lt;&gt;Dropdown_NotSelectedValue),IFERROR(NOT(MATCH(Others_Expense02,Dropdown_Expenses,0)&gt;0),TRUE),FALSE)</f>
        <v>0</v>
      </c>
      <c r="B84" s="101" t="str">
        <f ca="1">IFERROR(INDIRECT(Table_ErrorList[[#This Row],[Attention To Named Range]]),"Error")</f>
        <v>Accomm-Hotel/Motel</v>
      </c>
      <c r="C84" s="96">
        <v>811</v>
      </c>
      <c r="D84" s="96" t="str">
        <f ca="1">IF(Table_ErrorList[[#This Row],[Manual Hierarchy]]="",CONCATENATE(TEXT(Table_ErrorList[[#This Row],[Section '#]],"00"),"-",TEXT(COUNTIF($E84:OFFSET(Table_ErrorList[[#Headers],[Section '#]],1,0,1,1),Table_ErrorList[[#This Row],[Section '#]]),"000")),Table_ErrorList[[#This Row],[Manual Hierarchy]])</f>
        <v>07-013</v>
      </c>
      <c r="E84" s="98">
        <v>7</v>
      </c>
      <c r="F84" s="98" t="str">
        <f>IFERROR(VLOOKUP(Table_ErrorList[[#This Row],[Section '#]],Table_SectionNames[],MATCH(Table_SectionNames[[#Headers],[Name]],Table_SectionNames[#Headers],0),FALSE),"Not found")</f>
        <v>Other Expenses</v>
      </c>
      <c r="G84" s="98"/>
      <c r="H84" s="101" t="str">
        <f>IFERROR(VLOOKUP(Table_ErrorList[[#This Row],[Attention To Named Range]],Table_NamedRanges[],MATCH(Table_NamedRanges[[#Headers],[Reference Type]],Table_NamedRanges[#Headers],0),FALSE),"Error")</f>
        <v>Single Cell</v>
      </c>
      <c r="I84" s="96" t="s">
        <v>453</v>
      </c>
      <c r="J84" s="101" t="str">
        <f>IF(Table_ErrorList[[#This Row],[Manual Reference]]="",Table_ErrorList[[#This Row],[''Attention To'' Refence]],Table_ErrorList[[#This Row],[Manual Reference]])&amp;","</f>
        <v>$K$28,</v>
      </c>
      <c r="K84" s="101" t="str">
        <f>SUBSTITUTE(SUBSTITUTE(VLOOKUP(Table_ErrorList[[#This Row],[Attention To Named Range]],Table_NamedRanges[],MATCH(Table_NamedRanges[[#Headers],[Reference Text]],Table_NamedRanges[#Headers],0),FALSE),"=",""),"'Travel Expense Summary'!","")</f>
        <v>$K$28</v>
      </c>
      <c r="L84" s="101"/>
      <c r="M84" s="81" t="s">
        <v>456</v>
      </c>
      <c r="N84" s="81" t="s">
        <v>424</v>
      </c>
      <c r="O84" s="81" t="b">
        <v>1</v>
      </c>
      <c r="P84" s="100" t="s">
        <v>425</v>
      </c>
      <c r="Q84" s="100" t="s">
        <v>269</v>
      </c>
      <c r="R84"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84" s="81" t="b">
        <v>1</v>
      </c>
      <c r="T84" s="101" t="str">
        <f>IF(LEN(Table_ErrorList[[#This Row],[Message Bar Display]])&gt;$U$5,"Too Long, Characters = "&amp;LEN(Table_ErrorList[[#This Row],[Message Bar Display]])," ")</f>
        <v xml:space="preserve"> </v>
      </c>
      <c r="U84" s="101" t="str">
        <f>IF(LEN(Table_ErrorList[[#This Row],[Details Explanation (Line '#1)]])&gt;$U$5,"Too Long, Characters = "&amp;LEN(Table_ErrorList[[#This Row],[Details Explanation (Line '#1)]])," ")</f>
        <v xml:space="preserve"> </v>
      </c>
      <c r="V84" s="101" t="str">
        <f>IF(LEN(Table_ErrorList[[#This Row],[Details Explanation (Line '#2)]])&gt;$U$5,"Too Long, Characters = "&amp;LEN(Table_ErrorList[[#This Row],[Details Explanation (Line '#2)]])," ")</f>
        <v xml:space="preserve"> </v>
      </c>
    </row>
    <row r="85" spans="1:22" ht="30" x14ac:dyDescent="0.25">
      <c r="A85" s="101" t="b">
        <f>AND(
VLOOKUP(Others_Expense02,Table_Expenses[],MATCH(Table_Expenses[[#Headers],[DescriptionRequired]],Table_Expenses[#Headers],0),FALSE),
OR(Others_Desc02=0,Others_Desc02="",Others_Desc02=Dropdown_NotSelectedValue),
COUNTA(Others_Date02,Others_Expense02,, Others_From02, Others_To02, Others_Receipt02, Others_KM02)&gt;0)</f>
        <v>0</v>
      </c>
      <c r="B85" s="101" t="str">
        <f ca="1">IFERROR(INDIRECT(Table_ErrorList[[#This Row],[Attention To Named Range]]),"Error")</f>
        <v>Comfort Inn Sault Ste Marie</v>
      </c>
      <c r="C85" s="96">
        <v>820</v>
      </c>
      <c r="D85" s="96" t="str">
        <f ca="1">IF(Table_ErrorList[[#This Row],[Manual Hierarchy]]="",CONCATENATE(TEXT(Table_ErrorList[[#This Row],[Section '#]],"00"),"-",TEXT(COUNTIF($E85:OFFSET(Table_ErrorList[[#Headers],[Section '#]],1,0,1,1),Table_ErrorList[[#This Row],[Section '#]]),"000")),Table_ErrorList[[#This Row],[Manual Hierarchy]])</f>
        <v>07-014</v>
      </c>
      <c r="E85" s="98">
        <v>7</v>
      </c>
      <c r="F85" s="98" t="str">
        <f>IFERROR(VLOOKUP(Table_ErrorList[[#This Row],[Section '#]],Table_SectionNames[],MATCH(Table_SectionNames[[#Headers],[Name]],Table_SectionNames[#Headers],0),FALSE),"Not found")</f>
        <v>Other Expenses</v>
      </c>
      <c r="G85" s="98"/>
      <c r="H85" s="101" t="str">
        <f>IFERROR(VLOOKUP(Table_ErrorList[[#This Row],[Attention To Named Range]],Table_NamedRanges[],MATCH(Table_NamedRanges[[#Headers],[Reference Type]],Table_NamedRanges[#Headers],0),FALSE),"Error")</f>
        <v>Single Cell</v>
      </c>
      <c r="I85" s="96" t="s">
        <v>457</v>
      </c>
      <c r="J85" s="101" t="str">
        <f>IF(Table_ErrorList[[#This Row],[Manual Reference]]="",Table_ErrorList[[#This Row],[''Attention To'' Refence]],Table_ErrorList[[#This Row],[Manual Reference]])&amp;","</f>
        <v>$M$28,</v>
      </c>
      <c r="K85" s="101" t="str">
        <f>SUBSTITUTE(SUBSTITUTE(VLOOKUP(Table_ErrorList[[#This Row],[Attention To Named Range]],Table_NamedRanges[],MATCH(Table_NamedRanges[[#Headers],[Reference Text]],Table_NamedRanges[#Headers],0),FALSE),"=",""),"'Travel Expense Summary'!","")</f>
        <v>$M$28</v>
      </c>
      <c r="L85" s="101"/>
      <c r="M85" s="81" t="s">
        <v>458</v>
      </c>
      <c r="N85" s="81" t="s">
        <v>459</v>
      </c>
      <c r="O85" s="81" t="b">
        <v>1</v>
      </c>
      <c r="P85" s="100" t="s">
        <v>429</v>
      </c>
      <c r="Q85" s="100" t="s">
        <v>430</v>
      </c>
      <c r="R85"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85" s="81" t="b">
        <v>1</v>
      </c>
      <c r="T85" s="81" t="str">
        <f>IF(LEN(Table_ErrorList[[#This Row],[Message Bar Display]])&gt;$U$5,"Too Long, Characters = "&amp;LEN(Table_ErrorList[[#This Row],[Message Bar Display]])," ")</f>
        <v xml:space="preserve"> </v>
      </c>
      <c r="U85" s="81" t="str">
        <f>IF(LEN(Table_ErrorList[[#This Row],[Details Explanation (Line '#1)]])&gt;$U$5,"Too Long, Characters = "&amp;LEN(Table_ErrorList[[#This Row],[Details Explanation (Line '#1)]])," ")</f>
        <v xml:space="preserve"> </v>
      </c>
      <c r="V85" s="81" t="str">
        <f>IF(LEN(Table_ErrorList[[#This Row],[Details Explanation (Line '#2)]])&gt;$U$5,"Too Long, Characters = "&amp;LEN(Table_ErrorList[[#This Row],[Details Explanation (Line '#2)]])," ")</f>
        <v xml:space="preserve"> </v>
      </c>
    </row>
    <row r="86" spans="1:22" ht="30" x14ac:dyDescent="0.25">
      <c r="A86" s="101" t="b">
        <f>AND(
VLOOKUP(Others_Expense02,Table_Expenses[],MATCH(Table_Expenses[[#Headers],[FromRequired]],Table_Expenses[#Headers],0),FALSE),
OR(Others_From02=0,Others_From02="",Others_From02=Dropdown_NotSelectedValue),
COUNTA(Others_Date02,Others_Expense02,Others_Desc02, Others_To02, Others_Receipt02, Others_KM02)&gt;0)</f>
        <v>0</v>
      </c>
      <c r="B86" s="101">
        <f ca="1">IFERROR(INDIRECT(Table_ErrorList[[#This Row],[Attention To Named Range]]),"Error")</f>
        <v>0</v>
      </c>
      <c r="C86" s="96">
        <v>830</v>
      </c>
      <c r="D86" s="96" t="str">
        <f ca="1">IF(Table_ErrorList[[#This Row],[Manual Hierarchy]]="",CONCATENATE(TEXT(Table_ErrorList[[#This Row],[Section '#]],"00"),"-",TEXT(COUNTIF($E86:OFFSET(Table_ErrorList[[#Headers],[Section '#]],1,0,1,1),Table_ErrorList[[#This Row],[Section '#]]),"000")),Table_ErrorList[[#This Row],[Manual Hierarchy]])</f>
        <v>07-015</v>
      </c>
      <c r="E86" s="98">
        <v>7</v>
      </c>
      <c r="F86" s="98" t="str">
        <f>IFERROR(VLOOKUP(Table_ErrorList[[#This Row],[Section '#]],Table_SectionNames[],MATCH(Table_SectionNames[[#Headers],[Name]],Table_SectionNames[#Headers],0),FALSE),"Not found")</f>
        <v>Other Expenses</v>
      </c>
      <c r="G86" s="98"/>
      <c r="H86" s="101" t="str">
        <f>IFERROR(VLOOKUP(Table_ErrorList[[#This Row],[Attention To Named Range]],Table_NamedRanges[],MATCH(Table_NamedRanges[[#Headers],[Reference Type]],Table_NamedRanges[#Headers],0),FALSE),"Error")</f>
        <v>Single Cell</v>
      </c>
      <c r="I86" s="96" t="s">
        <v>460</v>
      </c>
      <c r="J86" s="101" t="str">
        <f>IF(Table_ErrorList[[#This Row],[Manual Reference]]="",Table_ErrorList[[#This Row],[''Attention To'' Refence]],Table_ErrorList[[#This Row],[Manual Reference]])&amp;","</f>
        <v>$R$28,</v>
      </c>
      <c r="K86" s="101" t="str">
        <f>SUBSTITUTE(SUBSTITUTE(VLOOKUP(Table_ErrorList[[#This Row],[Attention To Named Range]],Table_NamedRanges[],MATCH(Table_NamedRanges[[#Headers],[Reference Text]],Table_NamedRanges[#Headers],0),FALSE),"=",""),"'Travel Expense Summary'!","")</f>
        <v>$R$28</v>
      </c>
      <c r="L86" s="101"/>
      <c r="M86" s="81" t="s">
        <v>461</v>
      </c>
      <c r="N86" s="81" t="s">
        <v>462</v>
      </c>
      <c r="O86" s="81" t="b">
        <v>1</v>
      </c>
      <c r="P86" s="100" t="s">
        <v>434</v>
      </c>
      <c r="Q86" s="100" t="s">
        <v>435</v>
      </c>
      <c r="R86"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86" s="81" t="b">
        <v>1</v>
      </c>
      <c r="T86" s="81" t="str">
        <f>IF(LEN(Table_ErrorList[[#This Row],[Message Bar Display]])&gt;$U$5,"Too Long, Characters = "&amp;LEN(Table_ErrorList[[#This Row],[Message Bar Display]])," ")</f>
        <v xml:space="preserve"> </v>
      </c>
      <c r="U86" s="81" t="str">
        <f>IF(LEN(Table_ErrorList[[#This Row],[Details Explanation (Line '#1)]])&gt;$U$5,"Too Long, Characters = "&amp;LEN(Table_ErrorList[[#This Row],[Details Explanation (Line '#1)]])," ")</f>
        <v xml:space="preserve"> </v>
      </c>
      <c r="V86" s="81" t="str">
        <f>IF(LEN(Table_ErrorList[[#This Row],[Details Explanation (Line '#2)]])&gt;$U$5,"Too Long, Characters = "&amp;LEN(Table_ErrorList[[#This Row],[Details Explanation (Line '#2)]])," ")</f>
        <v xml:space="preserve"> </v>
      </c>
    </row>
    <row r="87" spans="1:22" ht="30" x14ac:dyDescent="0.25">
      <c r="A87" s="101" t="b">
        <f>AND(
VLOOKUP(Others_Expense02,Table_Expenses[],MATCH(Table_Expenses[[#Headers],[ToRequired]],Table_Expenses[#Headers],0),FALSE),
OR(Others_To02=0,Others_To02="",Others_To02=Dropdown_NotSelectedValue),
COUNTA(Others_Date02,Others_Expense02,Others_Desc02, Others_From02, Others_Receipt02, Others_KM02)&gt;0)</f>
        <v>0</v>
      </c>
      <c r="B87" s="101">
        <f ca="1">IFERROR(INDIRECT(Table_ErrorList[[#This Row],[Attention To Named Range]]),"Error")</f>
        <v>0</v>
      </c>
      <c r="C87" s="96">
        <v>840</v>
      </c>
      <c r="D87" s="96" t="str">
        <f ca="1">IF(Table_ErrorList[[#This Row],[Manual Hierarchy]]="",CONCATENATE(TEXT(Table_ErrorList[[#This Row],[Section '#]],"00"),"-",TEXT(COUNTIF($E87:OFFSET(Table_ErrorList[[#Headers],[Section '#]],1,0,1,1),Table_ErrorList[[#This Row],[Section '#]]),"000")),Table_ErrorList[[#This Row],[Manual Hierarchy]])</f>
        <v>07-016</v>
      </c>
      <c r="E87" s="98">
        <v>7</v>
      </c>
      <c r="F87" s="98" t="str">
        <f>IFERROR(VLOOKUP(Table_ErrorList[[#This Row],[Section '#]],Table_SectionNames[],MATCH(Table_SectionNames[[#Headers],[Name]],Table_SectionNames[#Headers],0),FALSE),"Not found")</f>
        <v>Other Expenses</v>
      </c>
      <c r="G87" s="98"/>
      <c r="H87" s="101" t="str">
        <f>IFERROR(VLOOKUP(Table_ErrorList[[#This Row],[Attention To Named Range]],Table_NamedRanges[],MATCH(Table_NamedRanges[[#Headers],[Reference Type]],Table_NamedRanges[#Headers],0),FALSE),"Error")</f>
        <v>Single Cell</v>
      </c>
      <c r="I87" s="96" t="s">
        <v>463</v>
      </c>
      <c r="J87" s="101" t="str">
        <f>IF(Table_ErrorList[[#This Row],[Manual Reference]]="",Table_ErrorList[[#This Row],[''Attention To'' Refence]],Table_ErrorList[[#This Row],[Manual Reference]])&amp;","</f>
        <v>$T$28,</v>
      </c>
      <c r="K87" s="101" t="str">
        <f>SUBSTITUTE(SUBSTITUTE(VLOOKUP(Table_ErrorList[[#This Row],[Attention To Named Range]],Table_NamedRanges[],MATCH(Table_NamedRanges[[#Headers],[Reference Text]],Table_NamedRanges[#Headers],0),FALSE),"=",""),"'Travel Expense Summary'!","")</f>
        <v>$T$28</v>
      </c>
      <c r="L87" s="101"/>
      <c r="M87" s="81" t="s">
        <v>464</v>
      </c>
      <c r="N87" s="81" t="s">
        <v>465</v>
      </c>
      <c r="O87" s="81" t="b">
        <v>1</v>
      </c>
      <c r="P87" s="100" t="s">
        <v>439</v>
      </c>
      <c r="Q87" s="100" t="s">
        <v>435</v>
      </c>
      <c r="R87"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87" s="81" t="b">
        <v>1</v>
      </c>
      <c r="T87" s="81" t="str">
        <f>IF(LEN(Table_ErrorList[[#This Row],[Message Bar Display]])&gt;$U$5,"Too Long, Characters = "&amp;LEN(Table_ErrorList[[#This Row],[Message Bar Display]])," ")</f>
        <v xml:space="preserve"> </v>
      </c>
      <c r="U87" s="81" t="str">
        <f>IF(LEN(Table_ErrorList[[#This Row],[Details Explanation (Line '#1)]])&gt;$U$5,"Too Long, Characters = "&amp;LEN(Table_ErrorList[[#This Row],[Details Explanation (Line '#1)]])," ")</f>
        <v xml:space="preserve"> </v>
      </c>
      <c r="V87" s="81" t="str">
        <f>IF(LEN(Table_ErrorList[[#This Row],[Details Explanation (Line '#2)]])&gt;$U$5,"Too Long, Characters = "&amp;LEN(Table_ErrorList[[#This Row],[Details Explanation (Line '#2)]])," ")</f>
        <v xml:space="preserve"> </v>
      </c>
    </row>
    <row r="88" spans="1:22" ht="33.75" x14ac:dyDescent="0.25">
      <c r="A88" s="101" t="b">
        <f>AND(
VLOOKUP(Others_Expense02,Table_Expenses[],MATCH(Table_Expenses[[#Headers],[ReceiptRequired]],Table_Expenses[#Headers],0),FALSE),
OR(Others_Receipt02=0,Others_Receipt02="",Others_Receipt02=Dropdown_NotSelectedValue),
COUNTA(Others_Date02,Others_Expense02,Others_Desc02, Others_From02, Others_To02, Others_KM02)&gt;0)</f>
        <v>0</v>
      </c>
      <c r="B88" s="101">
        <f ca="1">IFERROR(INDIRECT(Table_ErrorList[[#This Row],[Attention To Named Range]]),"Error")</f>
        <v>128</v>
      </c>
      <c r="C88" s="96">
        <v>850</v>
      </c>
      <c r="D88" s="96" t="str">
        <f ca="1">IF(Table_ErrorList[[#This Row],[Manual Hierarchy]]="",CONCATENATE(TEXT(Table_ErrorList[[#This Row],[Section '#]],"00"),"-",TEXT(COUNTIF($E88:OFFSET(Table_ErrorList[[#Headers],[Section '#]],1,0,1,1),Table_ErrorList[[#This Row],[Section '#]]),"000")),Table_ErrorList[[#This Row],[Manual Hierarchy]])</f>
        <v>07-017</v>
      </c>
      <c r="E88" s="98">
        <v>7</v>
      </c>
      <c r="F88" s="98" t="str">
        <f>IFERROR(VLOOKUP(Table_ErrorList[[#This Row],[Section '#]],Table_SectionNames[],MATCH(Table_SectionNames[[#Headers],[Name]],Table_SectionNames[#Headers],0),FALSE),"Not found")</f>
        <v>Other Expenses</v>
      </c>
      <c r="G88" s="98"/>
      <c r="H88" s="101" t="str">
        <f>IFERROR(VLOOKUP(Table_ErrorList[[#This Row],[Attention To Named Range]],Table_NamedRanges[],MATCH(Table_NamedRanges[[#Headers],[Reference Type]],Table_NamedRanges[#Headers],0),FALSE),"Error")</f>
        <v>Single Cell</v>
      </c>
      <c r="I88" s="96" t="s">
        <v>466</v>
      </c>
      <c r="J88" s="101" t="str">
        <f>IF(Table_ErrorList[[#This Row],[Manual Reference]]="",Table_ErrorList[[#This Row],[''Attention To'' Refence]],Table_ErrorList[[#This Row],[Manual Reference]])&amp;","</f>
        <v>$X$28,</v>
      </c>
      <c r="K88" s="101" t="str">
        <f>SUBSTITUTE(SUBSTITUTE(VLOOKUP(Table_ErrorList[[#This Row],[Attention To Named Range]],Table_NamedRanges[],MATCH(Table_NamedRanges[[#Headers],[Reference Text]],Table_NamedRanges[#Headers],0),FALSE),"=",""),"'Travel Expense Summary'!","")</f>
        <v>$X$28</v>
      </c>
      <c r="L88" s="101"/>
      <c r="M88" s="81" t="s">
        <v>467</v>
      </c>
      <c r="N88" s="81" t="s">
        <v>468</v>
      </c>
      <c r="O88" s="81" t="b">
        <v>1</v>
      </c>
      <c r="P88" s="100" t="s">
        <v>443</v>
      </c>
      <c r="Q88" s="100" t="s">
        <v>364</v>
      </c>
      <c r="R88"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88" s="81" t="b">
        <v>1</v>
      </c>
      <c r="T88" s="81" t="str">
        <f>IF(LEN(Table_ErrorList[[#This Row],[Message Bar Display]])&gt;$U$5,"Too Long, Characters = "&amp;LEN(Table_ErrorList[[#This Row],[Message Bar Display]])," ")</f>
        <v xml:space="preserve"> </v>
      </c>
      <c r="U88" s="81" t="str">
        <f>IF(LEN(Table_ErrorList[[#This Row],[Details Explanation (Line '#1)]])&gt;$U$5,"Too Long, Characters = "&amp;LEN(Table_ErrorList[[#This Row],[Details Explanation (Line '#1)]])," ")</f>
        <v xml:space="preserve"> </v>
      </c>
      <c r="V88" s="81" t="str">
        <f>IF(LEN(Table_ErrorList[[#This Row],[Details Explanation (Line '#2)]])&gt;$U$5,"Too Long, Characters = "&amp;LEN(Table_ErrorList[[#This Row],[Details Explanation (Line '#2)]])," ")</f>
        <v xml:space="preserve"> </v>
      </c>
    </row>
    <row r="89" spans="1:22" ht="45" x14ac:dyDescent="0.25">
      <c r="A89" s="101" t="b">
        <f>AND(
VLOOKUP(Others_Expense02,Table_Expenses[],MATCH(Table_Expenses[[#Headers],[KMRequired]],Table_Expenses[#Headers],0),FALSE),
OR(Others_KM02=0,Others_KM02="",Others_KM02=Dropdown_NotSelectedValue),
COUNTA(Others_Date02,Others_Expense02,Others_Desc02, Others_From02, Others_To02, Others_Receipt02)&gt;0)</f>
        <v>0</v>
      </c>
      <c r="B89" s="101">
        <f ca="1">IFERROR(INDIRECT(Table_ErrorList[[#This Row],[Attention To Named Range]]),"Error")</f>
        <v>0</v>
      </c>
      <c r="C89" s="96">
        <v>860</v>
      </c>
      <c r="D89" s="96" t="str">
        <f ca="1">IF(Table_ErrorList[[#This Row],[Manual Hierarchy]]="",CONCATENATE(TEXT(Table_ErrorList[[#This Row],[Section '#]],"00"),"-",TEXT(COUNTIF($E89:OFFSET(Table_ErrorList[[#Headers],[Section '#]],1,0,1,1),Table_ErrorList[[#This Row],[Section '#]]),"000")),Table_ErrorList[[#This Row],[Manual Hierarchy]])</f>
        <v>07-018</v>
      </c>
      <c r="E89" s="98">
        <v>7</v>
      </c>
      <c r="F89" s="98" t="str">
        <f>IFERROR(VLOOKUP(Table_ErrorList[[#This Row],[Section '#]],Table_SectionNames[],MATCH(Table_SectionNames[[#Headers],[Name]],Table_SectionNames[#Headers],0),FALSE),"Not found")</f>
        <v>Other Expenses</v>
      </c>
      <c r="G89" s="98"/>
      <c r="H89" s="101" t="str">
        <f>IFERROR(VLOOKUP(Table_ErrorList[[#This Row],[Attention To Named Range]],Table_NamedRanges[],MATCH(Table_NamedRanges[[#Headers],[Reference Type]],Table_NamedRanges[#Headers],0),FALSE),"Error")</f>
        <v>Single Cell</v>
      </c>
      <c r="I89" s="96" t="s">
        <v>469</v>
      </c>
      <c r="J89" s="101" t="str">
        <f>IF(Table_ErrorList[[#This Row],[Manual Reference]]="",Table_ErrorList[[#This Row],[''Attention To'' Refence]],Table_ErrorList[[#This Row],[Manual Reference]])&amp;","</f>
        <v>$Y$28,</v>
      </c>
      <c r="K89" s="101" t="str">
        <f>SUBSTITUTE(SUBSTITUTE(VLOOKUP(Table_ErrorList[[#This Row],[Attention To Named Range]],Table_NamedRanges[],MATCH(Table_NamedRanges[[#Headers],[Reference Text]],Table_NamedRanges[#Headers],0),FALSE),"=",""),"'Travel Expense Summary'!","")</f>
        <v>$Y$28</v>
      </c>
      <c r="L89" s="101"/>
      <c r="M89" s="81" t="s">
        <v>470</v>
      </c>
      <c r="N89" s="81" t="s">
        <v>471</v>
      </c>
      <c r="O89" s="81" t="b">
        <v>1</v>
      </c>
      <c r="P89" s="100" t="s">
        <v>472</v>
      </c>
      <c r="Q89" s="100" t="s">
        <v>473</v>
      </c>
      <c r="R89"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89" s="81" t="b">
        <v>1</v>
      </c>
      <c r="T89" s="81" t="str">
        <f>IF(LEN(Table_ErrorList[[#This Row],[Message Bar Display]])&gt;$U$5,"Too Long, Characters = "&amp;LEN(Table_ErrorList[[#This Row],[Message Bar Display]])," ")</f>
        <v xml:space="preserve"> </v>
      </c>
      <c r="U89" s="81" t="str">
        <f>IF(LEN(Table_ErrorList[[#This Row],[Details Explanation (Line '#1)]])&gt;$U$5,"Too Long, Characters = "&amp;LEN(Table_ErrorList[[#This Row],[Details Explanation (Line '#1)]])," ")</f>
        <v xml:space="preserve"> </v>
      </c>
      <c r="V89" s="81" t="str">
        <f>IF(LEN(Table_ErrorList[[#This Row],[Details Explanation (Line '#2)]])&gt;$U$5,"Too Long, Characters = "&amp;LEN(Table_ErrorList[[#This Row],[Details Explanation (Line '#2)]])," ")</f>
        <v xml:space="preserve"> </v>
      </c>
    </row>
    <row r="90" spans="1:22" ht="30" x14ac:dyDescent="0.25">
      <c r="A90" s="101" t="b">
        <f>AND(
OR(Others_Date03=0,Others_Date03="",Others_Date03=Dropdown_NotSelectedValue),
COUNTA(Others_Expense03,Others_Desc03, Others_From03, Others_To03, Others_Receipt03, Others_KM03)&gt;0)</f>
        <v>0</v>
      </c>
      <c r="B90" s="101">
        <f ca="1">IFERROR(INDIRECT(Table_ErrorList[[#This Row],[Attention To Named Range]]),"Error")</f>
        <v>43585</v>
      </c>
      <c r="C90" s="96">
        <v>900</v>
      </c>
      <c r="D90" s="96" t="str">
        <f ca="1">IF(Table_ErrorList[[#This Row],[Manual Hierarchy]]="",CONCATENATE(TEXT(Table_ErrorList[[#This Row],[Section '#]],"00"),"-",TEXT(COUNTIF($E90:OFFSET(Table_ErrorList[[#Headers],[Section '#]],1,0,1,1),Table_ErrorList[[#This Row],[Section '#]]),"000")),Table_ErrorList[[#This Row],[Manual Hierarchy]])</f>
        <v>07-019</v>
      </c>
      <c r="E90" s="98">
        <v>7</v>
      </c>
      <c r="F90" s="98" t="str">
        <f>IFERROR(VLOOKUP(Table_ErrorList[[#This Row],[Section '#]],Table_SectionNames[],MATCH(Table_SectionNames[[#Headers],[Name]],Table_SectionNames[#Headers],0),FALSE),"Not found")</f>
        <v>Other Expenses</v>
      </c>
      <c r="G90" s="98"/>
      <c r="H90" s="101" t="str">
        <f>IFERROR(VLOOKUP(Table_ErrorList[[#This Row],[Attention To Named Range]],Table_NamedRanges[],MATCH(Table_NamedRanges[[#Headers],[Reference Type]],Table_NamedRanges[#Headers],0),FALSE),"Error")</f>
        <v>Single Cell</v>
      </c>
      <c r="I90" s="96" t="s">
        <v>474</v>
      </c>
      <c r="J90" s="101" t="str">
        <f>IF(Table_ErrorList[[#This Row],[Manual Reference]]="",Table_ErrorList[[#This Row],[''Attention To'' Refence]],Table_ErrorList[[#This Row],[Manual Reference]])&amp;","</f>
        <v>$I$29,</v>
      </c>
      <c r="K90" s="101" t="str">
        <f>SUBSTITUTE(SUBSTITUTE(VLOOKUP(Table_ErrorList[[#This Row],[Attention To Named Range]],Table_NamedRanges[],MATCH(Table_NamedRanges[[#Headers],[Reference Text]],Table_NamedRanges[#Headers],0),FALSE),"=",""),"'Travel Expense Summary'!","")</f>
        <v>$I$29</v>
      </c>
      <c r="L90" s="101"/>
      <c r="M90" s="81" t="s">
        <v>475</v>
      </c>
      <c r="N90" s="81" t="s">
        <v>476</v>
      </c>
      <c r="O90" s="81" t="b">
        <v>1</v>
      </c>
      <c r="P90" s="100" t="s">
        <v>354</v>
      </c>
      <c r="Q90" s="100" t="s">
        <v>355</v>
      </c>
      <c r="R90"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0" s="81" t="b">
        <v>1</v>
      </c>
      <c r="T90" s="81" t="str">
        <f>IF(LEN(Table_ErrorList[[#This Row],[Message Bar Display]])&gt;$U$5,"Too Long, Characters = "&amp;LEN(Table_ErrorList[[#This Row],[Message Bar Display]])," ")</f>
        <v xml:space="preserve"> </v>
      </c>
      <c r="U90" s="81" t="str">
        <f>IF(LEN(Table_ErrorList[[#This Row],[Details Explanation (Line '#1)]])&gt;$U$5,"Too Long, Characters = "&amp;LEN(Table_ErrorList[[#This Row],[Details Explanation (Line '#1)]])," ")</f>
        <v xml:space="preserve"> </v>
      </c>
      <c r="V90" s="81" t="str">
        <f>IF(LEN(Table_ErrorList[[#This Row],[Details Explanation (Line '#2)]])&gt;$U$5,"Too Long, Characters = "&amp;LEN(Table_ErrorList[[#This Row],[Details Explanation (Line '#2)]])," ")</f>
        <v xml:space="preserve"> </v>
      </c>
    </row>
    <row r="91" spans="1:22" s="30" customFormat="1" ht="30" x14ac:dyDescent="0.25">
      <c r="A91" s="101" t="b">
        <f>IF(
AND(Others_Date03&gt;0,NOT(OR(Others_Date03=0,Others_Date03="",Others_Date03=Dropdown_NotSelectedValue))),
NOT(AND(Field15_TravelStartDate&lt;=Others_Date03,Field16_TravelEndDate&gt;=Others_Date03)),FALSE)</f>
        <v>0</v>
      </c>
      <c r="B91" s="101">
        <f ca="1">IFERROR(INDIRECT(Table_ErrorList[[#This Row],[Attention To Named Range]]),"Error")</f>
        <v>43585</v>
      </c>
      <c r="C91" s="96">
        <v>901</v>
      </c>
      <c r="D91" s="96" t="str">
        <f ca="1">IF(Table_ErrorList[[#This Row],[Manual Hierarchy]]="",CONCATENATE(TEXT(Table_ErrorList[[#This Row],[Section '#]],"00"),"-",TEXT(COUNTIF($E91:OFFSET(Table_ErrorList[[#Headers],[Section '#]],1,0,1,1),Table_ErrorList[[#This Row],[Section '#]]),"000")),Table_ErrorList[[#This Row],[Manual Hierarchy]])</f>
        <v>07-020</v>
      </c>
      <c r="E91" s="98">
        <v>7</v>
      </c>
      <c r="F91" s="98" t="str">
        <f>IFERROR(VLOOKUP(Table_ErrorList[[#This Row],[Section '#]],Table_SectionNames[],MATCH(Table_SectionNames[[#Headers],[Name]],Table_SectionNames[#Headers],0),FALSE),"Not found")</f>
        <v>Other Expenses</v>
      </c>
      <c r="G91" s="98"/>
      <c r="H91" s="101" t="str">
        <f>IFERROR(VLOOKUP(Table_ErrorList[[#This Row],[Attention To Named Range]],Table_NamedRanges[],MATCH(Table_NamedRanges[[#Headers],[Reference Type]],Table_NamedRanges[#Headers],0),FALSE),"Error")</f>
        <v>Single Cell</v>
      </c>
      <c r="I91" s="96" t="s">
        <v>474</v>
      </c>
      <c r="J91" s="101" t="str">
        <f>IF(Table_ErrorList[[#This Row],[Manual Reference]]="",Table_ErrorList[[#This Row],[''Attention To'' Refence]],Table_ErrorList[[#This Row],[Manual Reference]])&amp;","</f>
        <v>$I$29,</v>
      </c>
      <c r="K91" s="101" t="str">
        <f>SUBSTITUTE(SUBSTITUTE(VLOOKUP(Table_ErrorList[[#This Row],[Attention To Named Range]],Table_NamedRanges[],MATCH(Table_NamedRanges[[#Headers],[Reference Text]],Table_NamedRanges[#Headers],0),FALSE),"=",""),"'Travel Expense Summary'!","")</f>
        <v>$I$29</v>
      </c>
      <c r="L91" s="101"/>
      <c r="M91" s="81" t="s">
        <v>477</v>
      </c>
      <c r="N91" s="81" t="s">
        <v>415</v>
      </c>
      <c r="O91" s="81" t="b">
        <v>1</v>
      </c>
      <c r="P91" s="100" t="s">
        <v>416</v>
      </c>
      <c r="Q91" s="100" t="s">
        <v>417</v>
      </c>
      <c r="R91"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91" s="81" t="b">
        <v>1</v>
      </c>
      <c r="T91" s="101" t="str">
        <f>IF(LEN(Table_ErrorList[[#This Row],[Message Bar Display]])&gt;$U$5,"Too Long, Characters = "&amp;LEN(Table_ErrorList[[#This Row],[Message Bar Display]])," ")</f>
        <v xml:space="preserve"> </v>
      </c>
      <c r="U91" s="101" t="str">
        <f>IF(LEN(Table_ErrorList[[#This Row],[Details Explanation (Line '#1)]])&gt;$U$5,"Too Long, Characters = "&amp;LEN(Table_ErrorList[[#This Row],[Details Explanation (Line '#1)]])," ")</f>
        <v xml:space="preserve"> </v>
      </c>
      <c r="V91" s="101" t="str">
        <f>IF(LEN(Table_ErrorList[[#This Row],[Details Explanation (Line '#2)]])&gt;$U$5,"Too Long, Characters = "&amp;LEN(Table_ErrorList[[#This Row],[Details Explanation (Line '#2)]])," ")</f>
        <v xml:space="preserve"> </v>
      </c>
    </row>
    <row r="92" spans="1:22" ht="33.75" x14ac:dyDescent="0.25">
      <c r="A92" s="101" t="b">
        <f>AND(
OR(Others_Expense03=0,Others_Expense03="",Others_Expense03=Dropdown_NotSelectedValue),
COUNTA(Others_Date03,Others_Desc03, Others_From03, Others_To03, Others_Receipt03, Others_KM03)&gt;0)</f>
        <v>0</v>
      </c>
      <c r="B92" s="101" t="str">
        <f ca="1">IFERROR(INDIRECT(Table_ErrorList[[#This Row],[Attention To Named Range]]),"Error")</f>
        <v>Trans-Mileage</v>
      </c>
      <c r="C92" s="96">
        <v>910</v>
      </c>
      <c r="D92" s="96" t="str">
        <f ca="1">IF(Table_ErrorList[[#This Row],[Manual Hierarchy]]="",CONCATENATE(TEXT(Table_ErrorList[[#This Row],[Section '#]],"00"),"-",TEXT(COUNTIF($E92:OFFSET(Table_ErrorList[[#Headers],[Section '#]],1,0,1,1),Table_ErrorList[[#This Row],[Section '#]]),"000")),Table_ErrorList[[#This Row],[Manual Hierarchy]])</f>
        <v>07-021</v>
      </c>
      <c r="E92" s="98">
        <v>7</v>
      </c>
      <c r="F92" s="98" t="str">
        <f>IFERROR(VLOOKUP(Table_ErrorList[[#This Row],[Section '#]],Table_SectionNames[],MATCH(Table_SectionNames[[#Headers],[Name]],Table_SectionNames[#Headers],0),FALSE),"Not found")</f>
        <v>Other Expenses</v>
      </c>
      <c r="G92" s="98"/>
      <c r="H92" s="101" t="str">
        <f>IFERROR(VLOOKUP(Table_ErrorList[[#This Row],[Attention To Named Range]],Table_NamedRanges[],MATCH(Table_NamedRanges[[#Headers],[Reference Type]],Table_NamedRanges[#Headers],0),FALSE),"Error")</f>
        <v>Single Cell</v>
      </c>
      <c r="I92" s="96" t="s">
        <v>478</v>
      </c>
      <c r="J92" s="101" t="str">
        <f>IF(Table_ErrorList[[#This Row],[Manual Reference]]="",Table_ErrorList[[#This Row],[''Attention To'' Refence]],Table_ErrorList[[#This Row],[Manual Reference]])&amp;","</f>
        <v>$K$29,</v>
      </c>
      <c r="K92" s="101" t="str">
        <f>SUBSTITUTE(SUBSTITUTE(VLOOKUP(Table_ErrorList[[#This Row],[Attention To Named Range]],Table_NamedRanges[],MATCH(Table_NamedRanges[[#Headers],[Reference Text]],Table_NamedRanges[#Headers],0),FALSE),"=",""),"'Travel Expense Summary'!","")</f>
        <v>$K$29</v>
      </c>
      <c r="L92" s="101"/>
      <c r="M92" s="81" t="s">
        <v>479</v>
      </c>
      <c r="N92" s="81" t="s">
        <v>480</v>
      </c>
      <c r="O92" s="81" t="b">
        <v>1</v>
      </c>
      <c r="P92" s="100" t="s">
        <v>421</v>
      </c>
      <c r="Q92" s="100" t="s">
        <v>422</v>
      </c>
      <c r="R92"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92" s="81" t="b">
        <v>1</v>
      </c>
      <c r="T92" s="81" t="str">
        <f>IF(LEN(Table_ErrorList[[#This Row],[Message Bar Display]])&gt;$U$5,"Too Long, Characters = "&amp;LEN(Table_ErrorList[[#This Row],[Message Bar Display]])," ")</f>
        <v xml:space="preserve"> </v>
      </c>
      <c r="U92" s="81" t="str">
        <f>IF(LEN(Table_ErrorList[[#This Row],[Details Explanation (Line '#1)]])&gt;$U$5,"Too Long, Characters = "&amp;LEN(Table_ErrorList[[#This Row],[Details Explanation (Line '#1)]])," ")</f>
        <v xml:space="preserve"> </v>
      </c>
      <c r="V92" s="81" t="str">
        <f>IF(LEN(Table_ErrorList[[#This Row],[Details Explanation (Line '#2)]])&gt;$U$5,"Too Long, Characters = "&amp;LEN(Table_ErrorList[[#This Row],[Details Explanation (Line '#2)]])," ")</f>
        <v xml:space="preserve"> </v>
      </c>
    </row>
    <row r="93" spans="1:22" s="30" customFormat="1" ht="30" x14ac:dyDescent="0.25">
      <c r="A93" s="101" t="b">
        <f>IF(AND(ISBLANK(Others_Expense03)=FALSE,Others_Expense03&lt;&gt;Dropdown_NotSelectedValue),IFERROR(NOT(MATCH(Others_Expense03,Dropdown_Expenses,0)&gt;0),TRUE),FALSE)</f>
        <v>0</v>
      </c>
      <c r="B93" s="101" t="str">
        <f ca="1">IFERROR(INDIRECT(Table_ErrorList[[#This Row],[Attention To Named Range]]),"Error")</f>
        <v>Trans-Mileage</v>
      </c>
      <c r="C93" s="96">
        <v>911</v>
      </c>
      <c r="D93" s="96" t="str">
        <f ca="1">IF(Table_ErrorList[[#This Row],[Manual Hierarchy]]="",CONCATENATE(TEXT(Table_ErrorList[[#This Row],[Section '#]],"00"),"-",TEXT(COUNTIF($E93:OFFSET(Table_ErrorList[[#Headers],[Section '#]],1,0,1,1),Table_ErrorList[[#This Row],[Section '#]]),"000")),Table_ErrorList[[#This Row],[Manual Hierarchy]])</f>
        <v>07-022</v>
      </c>
      <c r="E93" s="98">
        <v>7</v>
      </c>
      <c r="F93" s="98" t="str">
        <f>IFERROR(VLOOKUP(Table_ErrorList[[#This Row],[Section '#]],Table_SectionNames[],MATCH(Table_SectionNames[[#Headers],[Name]],Table_SectionNames[#Headers],0),FALSE),"Not found")</f>
        <v>Other Expenses</v>
      </c>
      <c r="G93" s="98"/>
      <c r="H93" s="101" t="str">
        <f>IFERROR(VLOOKUP(Table_ErrorList[[#This Row],[Attention To Named Range]],Table_NamedRanges[],MATCH(Table_NamedRanges[[#Headers],[Reference Type]],Table_NamedRanges[#Headers],0),FALSE),"Error")</f>
        <v>Single Cell</v>
      </c>
      <c r="I93" s="96" t="s">
        <v>478</v>
      </c>
      <c r="J93" s="101" t="str">
        <f>IF(Table_ErrorList[[#This Row],[Manual Reference]]="",Table_ErrorList[[#This Row],[''Attention To'' Refence]],Table_ErrorList[[#This Row],[Manual Reference]])&amp;","</f>
        <v>$K$29,</v>
      </c>
      <c r="K93" s="101" t="str">
        <f>SUBSTITUTE(SUBSTITUTE(VLOOKUP(Table_ErrorList[[#This Row],[Attention To Named Range]],Table_NamedRanges[],MATCH(Table_NamedRanges[[#Headers],[Reference Text]],Table_NamedRanges[#Headers],0),FALSE),"=",""),"'Travel Expense Summary'!","")</f>
        <v>$K$29</v>
      </c>
      <c r="L93" s="101"/>
      <c r="M93" s="81" t="s">
        <v>481</v>
      </c>
      <c r="N93" s="81" t="s">
        <v>424</v>
      </c>
      <c r="O93" s="81" t="b">
        <v>1</v>
      </c>
      <c r="P93" s="100" t="s">
        <v>425</v>
      </c>
      <c r="Q93" s="100" t="s">
        <v>269</v>
      </c>
      <c r="R93"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93" s="81" t="b">
        <v>1</v>
      </c>
      <c r="T93" s="101" t="str">
        <f>IF(LEN(Table_ErrorList[[#This Row],[Message Bar Display]])&gt;$U$5,"Too Long, Characters = "&amp;LEN(Table_ErrorList[[#This Row],[Message Bar Display]])," ")</f>
        <v xml:space="preserve"> </v>
      </c>
      <c r="U93" s="101" t="str">
        <f>IF(LEN(Table_ErrorList[[#This Row],[Details Explanation (Line '#1)]])&gt;$U$5,"Too Long, Characters = "&amp;LEN(Table_ErrorList[[#This Row],[Details Explanation (Line '#1)]])," ")</f>
        <v xml:space="preserve"> </v>
      </c>
      <c r="V93" s="101" t="str">
        <f>IF(LEN(Table_ErrorList[[#This Row],[Details Explanation (Line '#2)]])&gt;$U$5,"Too Long, Characters = "&amp;LEN(Table_ErrorList[[#This Row],[Details Explanation (Line '#2)]])," ")</f>
        <v xml:space="preserve"> </v>
      </c>
    </row>
    <row r="94" spans="1:22" ht="30" x14ac:dyDescent="0.25">
      <c r="A94" s="101" t="b">
        <f>AND(
VLOOKUP(Others_Expense03,Table_Expenses[],MATCH(Table_Expenses[[#Headers],[DescriptionRequired]],Table_Expenses[#Headers],0),FALSE),
OR(Others_Desc03=0,Others_Desc03="",Others_Desc03=Dropdown_NotSelectedValue),
COUNTA(Others_Date03,Others_Expense03,, Others_From03, Others_To03, Others_Receipt03, Others_KM03)&gt;0)</f>
        <v>0</v>
      </c>
      <c r="B94" s="101" t="str">
        <f ca="1">IFERROR(INDIRECT(Table_ErrorList[[#This Row],[Attention To Named Range]]),"Error")</f>
        <v>Intercommunity Travel</v>
      </c>
      <c r="C94" s="96">
        <v>920</v>
      </c>
      <c r="D94" s="96" t="str">
        <f ca="1">IF(Table_ErrorList[[#This Row],[Manual Hierarchy]]="",CONCATENATE(TEXT(Table_ErrorList[[#This Row],[Section '#]],"00"),"-",TEXT(COUNTIF($E94:OFFSET(Table_ErrorList[[#Headers],[Section '#]],1,0,1,1),Table_ErrorList[[#This Row],[Section '#]]),"000")),Table_ErrorList[[#This Row],[Manual Hierarchy]])</f>
        <v>07-023</v>
      </c>
      <c r="E94" s="98">
        <v>7</v>
      </c>
      <c r="F94" s="98" t="str">
        <f>IFERROR(VLOOKUP(Table_ErrorList[[#This Row],[Section '#]],Table_SectionNames[],MATCH(Table_SectionNames[[#Headers],[Name]],Table_SectionNames[#Headers],0),FALSE),"Not found")</f>
        <v>Other Expenses</v>
      </c>
      <c r="G94" s="98"/>
      <c r="H94" s="101" t="str">
        <f>IFERROR(VLOOKUP(Table_ErrorList[[#This Row],[Attention To Named Range]],Table_NamedRanges[],MATCH(Table_NamedRanges[[#Headers],[Reference Type]],Table_NamedRanges[#Headers],0),FALSE),"Error")</f>
        <v>Single Cell</v>
      </c>
      <c r="I94" s="96" t="s">
        <v>482</v>
      </c>
      <c r="J94" s="101" t="str">
        <f>IF(Table_ErrorList[[#This Row],[Manual Reference]]="",Table_ErrorList[[#This Row],[''Attention To'' Refence]],Table_ErrorList[[#This Row],[Manual Reference]])&amp;","</f>
        <v>$M$29,</v>
      </c>
      <c r="K94" s="101" t="str">
        <f>SUBSTITUTE(SUBSTITUTE(VLOOKUP(Table_ErrorList[[#This Row],[Attention To Named Range]],Table_NamedRanges[],MATCH(Table_NamedRanges[[#Headers],[Reference Text]],Table_NamedRanges[#Headers],0),FALSE),"=",""),"'Travel Expense Summary'!","")</f>
        <v>$M$29</v>
      </c>
      <c r="L94" s="101"/>
      <c r="M94" s="81" t="s">
        <v>483</v>
      </c>
      <c r="N94" s="81" t="s">
        <v>484</v>
      </c>
      <c r="O94" s="81" t="b">
        <v>1</v>
      </c>
      <c r="P94" s="100" t="s">
        <v>429</v>
      </c>
      <c r="Q94" s="100" t="s">
        <v>430</v>
      </c>
      <c r="R94"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94" s="81" t="b">
        <v>1</v>
      </c>
      <c r="T94" s="81" t="str">
        <f>IF(LEN(Table_ErrorList[[#This Row],[Message Bar Display]])&gt;$U$5,"Too Long, Characters = "&amp;LEN(Table_ErrorList[[#This Row],[Message Bar Display]])," ")</f>
        <v xml:space="preserve"> </v>
      </c>
      <c r="U94" s="81" t="str">
        <f>IF(LEN(Table_ErrorList[[#This Row],[Details Explanation (Line '#1)]])&gt;$U$5,"Too Long, Characters = "&amp;LEN(Table_ErrorList[[#This Row],[Details Explanation (Line '#1)]])," ")</f>
        <v xml:space="preserve"> </v>
      </c>
      <c r="V94" s="81" t="str">
        <f>IF(LEN(Table_ErrorList[[#This Row],[Details Explanation (Line '#2)]])&gt;$U$5,"Too Long, Characters = "&amp;LEN(Table_ErrorList[[#This Row],[Details Explanation (Line '#2)]])," ")</f>
        <v xml:space="preserve"> </v>
      </c>
    </row>
    <row r="95" spans="1:22" ht="30" x14ac:dyDescent="0.25">
      <c r="A95" s="101" t="b">
        <f>AND(
VLOOKUP(Others_Expense03,Table_Expenses[],MATCH(Table_Expenses[[#Headers],[FromRequired]],Table_Expenses[#Headers],0),FALSE),
OR(Others_From03=0,Others_From03="",Others_From03=Dropdown_NotSelectedValue),
COUNTA(Others_Date03,Others_Expense03,Others_Desc03, Others_To03, Others_Receipt03, Others_KM03)&gt;0)</f>
        <v>0</v>
      </c>
      <c r="B95" s="101" t="str">
        <f ca="1">IFERROR(INDIRECT(Table_ErrorList[[#This Row],[Attention To Named Range]]),"Error")</f>
        <v xml:space="preserve">Residence </v>
      </c>
      <c r="C95" s="96">
        <v>930</v>
      </c>
      <c r="D95" s="96" t="str">
        <f ca="1">IF(Table_ErrorList[[#This Row],[Manual Hierarchy]]="",CONCATENATE(TEXT(Table_ErrorList[[#This Row],[Section '#]],"00"),"-",TEXT(COUNTIF($E95:OFFSET(Table_ErrorList[[#Headers],[Section '#]],1,0,1,1),Table_ErrorList[[#This Row],[Section '#]]),"000")),Table_ErrorList[[#This Row],[Manual Hierarchy]])</f>
        <v>07-024</v>
      </c>
      <c r="E95" s="98">
        <v>7</v>
      </c>
      <c r="F95" s="98" t="str">
        <f>IFERROR(VLOOKUP(Table_ErrorList[[#This Row],[Section '#]],Table_SectionNames[],MATCH(Table_SectionNames[[#Headers],[Name]],Table_SectionNames[#Headers],0),FALSE),"Not found")</f>
        <v>Other Expenses</v>
      </c>
      <c r="G95" s="98"/>
      <c r="H95" s="101" t="str">
        <f>IFERROR(VLOOKUP(Table_ErrorList[[#This Row],[Attention To Named Range]],Table_NamedRanges[],MATCH(Table_NamedRanges[[#Headers],[Reference Type]],Table_NamedRanges[#Headers],0),FALSE),"Error")</f>
        <v>Single Cell</v>
      </c>
      <c r="I95" s="96" t="s">
        <v>485</v>
      </c>
      <c r="J95" s="101" t="str">
        <f>IF(Table_ErrorList[[#This Row],[Manual Reference]]="",Table_ErrorList[[#This Row],[''Attention To'' Refence]],Table_ErrorList[[#This Row],[Manual Reference]])&amp;","</f>
        <v>$R$29,</v>
      </c>
      <c r="K95" s="101" t="str">
        <f>SUBSTITUTE(SUBSTITUTE(VLOOKUP(Table_ErrorList[[#This Row],[Attention To Named Range]],Table_NamedRanges[],MATCH(Table_NamedRanges[[#Headers],[Reference Text]],Table_NamedRanges[#Headers],0),FALSE),"=",""),"'Travel Expense Summary'!","")</f>
        <v>$R$29</v>
      </c>
      <c r="L95" s="101"/>
      <c r="M95" s="81" t="s">
        <v>486</v>
      </c>
      <c r="N95" s="81" t="s">
        <v>487</v>
      </c>
      <c r="O95" s="81" t="b">
        <v>1</v>
      </c>
      <c r="P95" s="100" t="s">
        <v>434</v>
      </c>
      <c r="Q95" s="100" t="s">
        <v>435</v>
      </c>
      <c r="R95"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95" s="81" t="b">
        <v>1</v>
      </c>
      <c r="T95" s="81" t="str">
        <f>IF(LEN(Table_ErrorList[[#This Row],[Message Bar Display]])&gt;$U$5,"Too Long, Characters = "&amp;LEN(Table_ErrorList[[#This Row],[Message Bar Display]])," ")</f>
        <v xml:space="preserve"> </v>
      </c>
      <c r="U95" s="81" t="str">
        <f>IF(LEN(Table_ErrorList[[#This Row],[Details Explanation (Line '#1)]])&gt;$U$5,"Too Long, Characters = "&amp;LEN(Table_ErrorList[[#This Row],[Details Explanation (Line '#1)]])," ")</f>
        <v xml:space="preserve"> </v>
      </c>
      <c r="V95" s="81" t="str">
        <f>IF(LEN(Table_ErrorList[[#This Row],[Details Explanation (Line '#2)]])&gt;$U$5,"Too Long, Characters = "&amp;LEN(Table_ErrorList[[#This Row],[Details Explanation (Line '#2)]])," ")</f>
        <v xml:space="preserve"> </v>
      </c>
    </row>
    <row r="96" spans="1:22" ht="30" x14ac:dyDescent="0.25">
      <c r="A96" s="101" t="b">
        <f>AND(
VLOOKUP(Others_Expense03,Table_Expenses[],MATCH(Table_Expenses[[#Headers],[ToRequired]],Table_Expenses[#Headers],0),FALSE),
OR(Others_To03=0,Others_To03="",Others_To03=Dropdown_NotSelectedValue),
COUNTA(Others_Date03,Others_Expense03,Others_Desc03, Others_From03, Others_Receipt03, Others_KM03)&gt;0)</f>
        <v>0</v>
      </c>
      <c r="B96" s="101" t="str">
        <f ca="1">IFERROR(INDIRECT(Table_ErrorList[[#This Row],[Attention To Named Range]]),"Error")</f>
        <v>Placement</v>
      </c>
      <c r="C96" s="96">
        <v>940</v>
      </c>
      <c r="D96" s="96" t="str">
        <f ca="1">IF(Table_ErrorList[[#This Row],[Manual Hierarchy]]="",CONCATENATE(TEXT(Table_ErrorList[[#This Row],[Section '#]],"00"),"-",TEXT(COUNTIF($E96:OFFSET(Table_ErrorList[[#Headers],[Section '#]],1,0,1,1),Table_ErrorList[[#This Row],[Section '#]]),"000")),Table_ErrorList[[#This Row],[Manual Hierarchy]])</f>
        <v>07-025</v>
      </c>
      <c r="E96" s="98">
        <v>7</v>
      </c>
      <c r="F96" s="98" t="str">
        <f>IFERROR(VLOOKUP(Table_ErrorList[[#This Row],[Section '#]],Table_SectionNames[],MATCH(Table_SectionNames[[#Headers],[Name]],Table_SectionNames[#Headers],0),FALSE),"Not found")</f>
        <v>Other Expenses</v>
      </c>
      <c r="G96" s="98"/>
      <c r="H96" s="101" t="str">
        <f>IFERROR(VLOOKUP(Table_ErrorList[[#This Row],[Attention To Named Range]],Table_NamedRanges[],MATCH(Table_NamedRanges[[#Headers],[Reference Type]],Table_NamedRanges[#Headers],0),FALSE),"Error")</f>
        <v>Single Cell</v>
      </c>
      <c r="I96" s="96" t="s">
        <v>488</v>
      </c>
      <c r="J96" s="101" t="str">
        <f>IF(Table_ErrorList[[#This Row],[Manual Reference]]="",Table_ErrorList[[#This Row],[''Attention To'' Refence]],Table_ErrorList[[#This Row],[Manual Reference]])&amp;","</f>
        <v>$T$29,</v>
      </c>
      <c r="K96" s="101" t="str">
        <f>SUBSTITUTE(SUBSTITUTE(VLOOKUP(Table_ErrorList[[#This Row],[Attention To Named Range]],Table_NamedRanges[],MATCH(Table_NamedRanges[[#Headers],[Reference Text]],Table_NamedRanges[#Headers],0),FALSE),"=",""),"'Travel Expense Summary'!","")</f>
        <v>$T$29</v>
      </c>
      <c r="L96" s="101"/>
      <c r="M96" s="81" t="s">
        <v>489</v>
      </c>
      <c r="N96" s="81" t="s">
        <v>490</v>
      </c>
      <c r="O96" s="81" t="b">
        <v>1</v>
      </c>
      <c r="P96" s="100" t="s">
        <v>439</v>
      </c>
      <c r="Q96" s="100" t="s">
        <v>435</v>
      </c>
      <c r="R96"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96" s="81" t="b">
        <v>1</v>
      </c>
      <c r="T96" s="81" t="str">
        <f>IF(LEN(Table_ErrorList[[#This Row],[Message Bar Display]])&gt;$U$5,"Too Long, Characters = "&amp;LEN(Table_ErrorList[[#This Row],[Message Bar Display]])," ")</f>
        <v xml:space="preserve"> </v>
      </c>
      <c r="U96" s="81" t="str">
        <f>IF(LEN(Table_ErrorList[[#This Row],[Details Explanation (Line '#1)]])&gt;$U$5,"Too Long, Characters = "&amp;LEN(Table_ErrorList[[#This Row],[Details Explanation (Line '#1)]])," ")</f>
        <v xml:space="preserve"> </v>
      </c>
      <c r="V96" s="81" t="str">
        <f>IF(LEN(Table_ErrorList[[#This Row],[Details Explanation (Line '#2)]])&gt;$U$5,"Too Long, Characters = "&amp;LEN(Table_ErrorList[[#This Row],[Details Explanation (Line '#2)]])," ")</f>
        <v xml:space="preserve"> </v>
      </c>
    </row>
    <row r="97" spans="1:22" ht="33.75" x14ac:dyDescent="0.25">
      <c r="A97" s="101" t="b">
        <f>AND(
VLOOKUP(Others_Expense03,Table_Expenses[],MATCH(Table_Expenses[[#Headers],[ReceiptRequired]],Table_Expenses[#Headers],0),FALSE),
OR(Others_Receipt03=0,Others_Receipt03="",Others_Receipt03=Dropdown_NotSelectedValue),
COUNTA(Others_Date03,Others_Expense03,Others_Desc03, Others_From03, Others_To03, Others_KM03)&gt;0)</f>
        <v>0</v>
      </c>
      <c r="B97" s="101">
        <f ca="1">IFERROR(INDIRECT(Table_ErrorList[[#This Row],[Attention To Named Range]]),"Error")</f>
        <v>0</v>
      </c>
      <c r="C97" s="96">
        <v>950</v>
      </c>
      <c r="D97" s="96" t="str">
        <f ca="1">IF(Table_ErrorList[[#This Row],[Manual Hierarchy]]="",CONCATENATE(TEXT(Table_ErrorList[[#This Row],[Section '#]],"00"),"-",TEXT(COUNTIF($E97:OFFSET(Table_ErrorList[[#Headers],[Section '#]],1,0,1,1),Table_ErrorList[[#This Row],[Section '#]]),"000")),Table_ErrorList[[#This Row],[Manual Hierarchy]])</f>
        <v>07-026</v>
      </c>
      <c r="E97" s="98">
        <v>7</v>
      </c>
      <c r="F97" s="98" t="str">
        <f>IFERROR(VLOOKUP(Table_ErrorList[[#This Row],[Section '#]],Table_SectionNames[],MATCH(Table_SectionNames[[#Headers],[Name]],Table_SectionNames[#Headers],0),FALSE),"Not found")</f>
        <v>Other Expenses</v>
      </c>
      <c r="G97" s="98"/>
      <c r="H97" s="101" t="str">
        <f>IFERROR(VLOOKUP(Table_ErrorList[[#This Row],[Attention To Named Range]],Table_NamedRanges[],MATCH(Table_NamedRanges[[#Headers],[Reference Type]],Table_NamedRanges[#Headers],0),FALSE),"Error")</f>
        <v>Single Cell</v>
      </c>
      <c r="I97" s="96" t="s">
        <v>491</v>
      </c>
      <c r="J97" s="101" t="str">
        <f>IF(Table_ErrorList[[#This Row],[Manual Reference]]="",Table_ErrorList[[#This Row],[''Attention To'' Refence]],Table_ErrorList[[#This Row],[Manual Reference]])&amp;","</f>
        <v>$X$29,</v>
      </c>
      <c r="K97" s="101" t="str">
        <f>SUBSTITUTE(SUBSTITUTE(VLOOKUP(Table_ErrorList[[#This Row],[Attention To Named Range]],Table_NamedRanges[],MATCH(Table_NamedRanges[[#Headers],[Reference Text]],Table_NamedRanges[#Headers],0),FALSE),"=",""),"'Travel Expense Summary'!","")</f>
        <v>$X$29</v>
      </c>
      <c r="L97" s="101"/>
      <c r="M97" s="81" t="s">
        <v>492</v>
      </c>
      <c r="N97" s="81" t="s">
        <v>493</v>
      </c>
      <c r="O97" s="81" t="b">
        <v>1</v>
      </c>
      <c r="P97" s="100" t="s">
        <v>443</v>
      </c>
      <c r="Q97" s="100" t="s">
        <v>364</v>
      </c>
      <c r="R97"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97" s="81" t="b">
        <v>1</v>
      </c>
      <c r="T97" s="81" t="str">
        <f>IF(LEN(Table_ErrorList[[#This Row],[Message Bar Display]])&gt;$U$5,"Too Long, Characters = "&amp;LEN(Table_ErrorList[[#This Row],[Message Bar Display]])," ")</f>
        <v xml:space="preserve"> </v>
      </c>
      <c r="U97" s="81" t="str">
        <f>IF(LEN(Table_ErrorList[[#This Row],[Details Explanation (Line '#1)]])&gt;$U$5,"Too Long, Characters = "&amp;LEN(Table_ErrorList[[#This Row],[Details Explanation (Line '#1)]])," ")</f>
        <v xml:space="preserve"> </v>
      </c>
      <c r="V97" s="81" t="str">
        <f>IF(LEN(Table_ErrorList[[#This Row],[Details Explanation (Line '#2)]])&gt;$U$5,"Too Long, Characters = "&amp;LEN(Table_ErrorList[[#This Row],[Details Explanation (Line '#2)]])," ")</f>
        <v xml:space="preserve"> </v>
      </c>
    </row>
    <row r="98" spans="1:22" ht="45" x14ac:dyDescent="0.25">
      <c r="A98" s="101" t="b">
        <f>AND(
VLOOKUP(Others_Expense03,Table_Expenses[],MATCH(Table_Expenses[[#Headers],[KMRequired]],Table_Expenses[#Headers],0),FALSE),
OR(Others_KM03=0,Others_KM03="",Others_KM03=Dropdown_NotSelectedValue),
COUNTA(Others_Date03,Others_Expense03,Others_Desc03, Others_From03, Others_To03, Others_Receipt03)&gt;0)</f>
        <v>0</v>
      </c>
      <c r="B98" s="101">
        <f ca="1">IFERROR(INDIRECT(Table_ErrorList[[#This Row],[Attention To Named Range]]),"Error")</f>
        <v>156</v>
      </c>
      <c r="C98" s="96">
        <v>960</v>
      </c>
      <c r="D98" s="96" t="str">
        <f ca="1">IF(Table_ErrorList[[#This Row],[Manual Hierarchy]]="",CONCATENATE(TEXT(Table_ErrorList[[#This Row],[Section '#]],"00"),"-",TEXT(COUNTIF($E98:OFFSET(Table_ErrorList[[#Headers],[Section '#]],1,0,1,1),Table_ErrorList[[#This Row],[Section '#]]),"000")),Table_ErrorList[[#This Row],[Manual Hierarchy]])</f>
        <v>07-027</v>
      </c>
      <c r="E98" s="98">
        <v>7</v>
      </c>
      <c r="F98" s="98" t="str">
        <f>IFERROR(VLOOKUP(Table_ErrorList[[#This Row],[Section '#]],Table_SectionNames[],MATCH(Table_SectionNames[[#Headers],[Name]],Table_SectionNames[#Headers],0),FALSE),"Not found")</f>
        <v>Other Expenses</v>
      </c>
      <c r="G98" s="98"/>
      <c r="H98" s="101" t="str">
        <f>IFERROR(VLOOKUP(Table_ErrorList[[#This Row],[Attention To Named Range]],Table_NamedRanges[],MATCH(Table_NamedRanges[[#Headers],[Reference Type]],Table_NamedRanges[#Headers],0),FALSE),"Error")</f>
        <v>Single Cell</v>
      </c>
      <c r="I98" s="96" t="s">
        <v>494</v>
      </c>
      <c r="J98" s="101" t="str">
        <f>IF(Table_ErrorList[[#This Row],[Manual Reference]]="",Table_ErrorList[[#This Row],[''Attention To'' Refence]],Table_ErrorList[[#This Row],[Manual Reference]])&amp;","</f>
        <v>$Y$29,</v>
      </c>
      <c r="K98" s="101" t="str">
        <f>SUBSTITUTE(SUBSTITUTE(VLOOKUP(Table_ErrorList[[#This Row],[Attention To Named Range]],Table_NamedRanges[],MATCH(Table_NamedRanges[[#Headers],[Reference Text]],Table_NamedRanges[#Headers],0),FALSE),"=",""),"'Travel Expense Summary'!","")</f>
        <v>$Y$29</v>
      </c>
      <c r="L98" s="101"/>
      <c r="M98" s="81" t="s">
        <v>495</v>
      </c>
      <c r="N98" s="81" t="s">
        <v>496</v>
      </c>
      <c r="O98" s="81" t="b">
        <v>1</v>
      </c>
      <c r="P98" s="100" t="s">
        <v>472</v>
      </c>
      <c r="Q98" s="100" t="s">
        <v>473</v>
      </c>
      <c r="R98"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98" s="81" t="b">
        <v>1</v>
      </c>
      <c r="T98" s="81" t="str">
        <f>IF(LEN(Table_ErrorList[[#This Row],[Message Bar Display]])&gt;$U$5,"Too Long, Characters = "&amp;LEN(Table_ErrorList[[#This Row],[Message Bar Display]])," ")</f>
        <v xml:space="preserve"> </v>
      </c>
      <c r="U98" s="81" t="str">
        <f>IF(LEN(Table_ErrorList[[#This Row],[Details Explanation (Line '#1)]])&gt;$U$5,"Too Long, Characters = "&amp;LEN(Table_ErrorList[[#This Row],[Details Explanation (Line '#1)]])," ")</f>
        <v xml:space="preserve"> </v>
      </c>
      <c r="V98" s="81" t="str">
        <f>IF(LEN(Table_ErrorList[[#This Row],[Details Explanation (Line '#2)]])&gt;$U$5,"Too Long, Characters = "&amp;LEN(Table_ErrorList[[#This Row],[Details Explanation (Line '#2)]])," ")</f>
        <v xml:space="preserve"> </v>
      </c>
    </row>
    <row r="99" spans="1:22" ht="30" x14ac:dyDescent="0.25">
      <c r="A99" s="101" t="b">
        <f>AND(
OR(Others_Date04=0,Others_Date04="",Others_Date04=Dropdown_NotSelectedValue),
COUNTA(Others_Expense04,Others_Desc04, Others_From04, Others_To04, Others_Receipt04, Others_KM04)&gt;0)</f>
        <v>0</v>
      </c>
      <c r="B99" s="101">
        <f ca="1">IFERROR(INDIRECT(Table_ErrorList[[#This Row],[Attention To Named Range]]),"Error")</f>
        <v>43609</v>
      </c>
      <c r="C99" s="96">
        <v>1000</v>
      </c>
      <c r="D99" s="96" t="str">
        <f ca="1">IF(Table_ErrorList[[#This Row],[Manual Hierarchy]]="",CONCATENATE(TEXT(Table_ErrorList[[#This Row],[Section '#]],"00"),"-",TEXT(COUNTIF($E99:OFFSET(Table_ErrorList[[#Headers],[Section '#]],1,0,1,1),Table_ErrorList[[#This Row],[Section '#]]),"000")),Table_ErrorList[[#This Row],[Manual Hierarchy]])</f>
        <v>07-028</v>
      </c>
      <c r="E99" s="98">
        <v>7</v>
      </c>
      <c r="F99" s="98" t="str">
        <f>IFERROR(VLOOKUP(Table_ErrorList[[#This Row],[Section '#]],Table_SectionNames[],MATCH(Table_SectionNames[[#Headers],[Name]],Table_SectionNames[#Headers],0),FALSE),"Not found")</f>
        <v>Other Expenses</v>
      </c>
      <c r="G99" s="98"/>
      <c r="H99" s="101" t="str">
        <f>IFERROR(VLOOKUP(Table_ErrorList[[#This Row],[Attention To Named Range]],Table_NamedRanges[],MATCH(Table_NamedRanges[[#Headers],[Reference Type]],Table_NamedRanges[#Headers],0),FALSE),"Error")</f>
        <v>Single Cell</v>
      </c>
      <c r="I99" s="96" t="s">
        <v>497</v>
      </c>
      <c r="J99" s="101" t="str">
        <f>IF(Table_ErrorList[[#This Row],[Manual Reference]]="",Table_ErrorList[[#This Row],[''Attention To'' Refence]],Table_ErrorList[[#This Row],[Manual Reference]])&amp;","</f>
        <v>$I$30,</v>
      </c>
      <c r="K99" s="101" t="str">
        <f>SUBSTITUTE(SUBSTITUTE(VLOOKUP(Table_ErrorList[[#This Row],[Attention To Named Range]],Table_NamedRanges[],MATCH(Table_NamedRanges[[#Headers],[Reference Text]],Table_NamedRanges[#Headers],0),FALSE),"=",""),"'Travel Expense Summary'!","")</f>
        <v>$I$30</v>
      </c>
      <c r="L99" s="101"/>
      <c r="M99" s="81" t="s">
        <v>498</v>
      </c>
      <c r="N99" s="81" t="s">
        <v>499</v>
      </c>
      <c r="O99" s="81" t="b">
        <v>1</v>
      </c>
      <c r="P99" s="100" t="s">
        <v>354</v>
      </c>
      <c r="Q99" s="100" t="s">
        <v>355</v>
      </c>
      <c r="R99"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9" s="81" t="b">
        <v>1</v>
      </c>
      <c r="T99" s="81" t="str">
        <f>IF(LEN(Table_ErrorList[[#This Row],[Message Bar Display]])&gt;$U$5,"Too Long, Characters = "&amp;LEN(Table_ErrorList[[#This Row],[Message Bar Display]])," ")</f>
        <v xml:space="preserve"> </v>
      </c>
      <c r="U99" s="81" t="str">
        <f>IF(LEN(Table_ErrorList[[#This Row],[Details Explanation (Line '#1)]])&gt;$U$5,"Too Long, Characters = "&amp;LEN(Table_ErrorList[[#This Row],[Details Explanation (Line '#1)]])," ")</f>
        <v xml:space="preserve"> </v>
      </c>
      <c r="V99" s="81" t="str">
        <f>IF(LEN(Table_ErrorList[[#This Row],[Details Explanation (Line '#2)]])&gt;$U$5,"Too Long, Characters = "&amp;LEN(Table_ErrorList[[#This Row],[Details Explanation (Line '#2)]])," ")</f>
        <v xml:space="preserve"> </v>
      </c>
    </row>
    <row r="100" spans="1:22" s="30" customFormat="1" ht="30" x14ac:dyDescent="0.25">
      <c r="A100" s="101" t="b">
        <f>IF(
AND(Others_Date04&gt;0,NOT(OR(Others_Date04=0,Others_Date04="",Others_Date04=Dropdown_NotSelectedValue))),
NOT(AND(Field15_TravelStartDate&lt;=Others_Date04,Field16_TravelEndDate&gt;=Others_Date04)),FALSE)</f>
        <v>0</v>
      </c>
      <c r="B100" s="101">
        <f ca="1">IFERROR(INDIRECT(Table_ErrorList[[#This Row],[Attention To Named Range]]),"Error")</f>
        <v>43609</v>
      </c>
      <c r="C100" s="96">
        <v>1001</v>
      </c>
      <c r="D100" s="96" t="str">
        <f ca="1">IF(Table_ErrorList[[#This Row],[Manual Hierarchy]]="",CONCATENATE(TEXT(Table_ErrorList[[#This Row],[Section '#]],"00"),"-",TEXT(COUNTIF($E100:OFFSET(Table_ErrorList[[#Headers],[Section '#]],1,0,1,1),Table_ErrorList[[#This Row],[Section '#]]),"000")),Table_ErrorList[[#This Row],[Manual Hierarchy]])</f>
        <v>07-029</v>
      </c>
      <c r="E100" s="98">
        <v>7</v>
      </c>
      <c r="F100" s="98" t="str">
        <f>IFERROR(VLOOKUP(Table_ErrorList[[#This Row],[Section '#]],Table_SectionNames[],MATCH(Table_SectionNames[[#Headers],[Name]],Table_SectionNames[#Headers],0),FALSE),"Not found")</f>
        <v>Other Expenses</v>
      </c>
      <c r="G100" s="98"/>
      <c r="H100" s="101" t="str">
        <f>IFERROR(VLOOKUP(Table_ErrorList[[#This Row],[Attention To Named Range]],Table_NamedRanges[],MATCH(Table_NamedRanges[[#Headers],[Reference Type]],Table_NamedRanges[#Headers],0),FALSE),"Error")</f>
        <v>Single Cell</v>
      </c>
      <c r="I100" s="96" t="s">
        <v>497</v>
      </c>
      <c r="J100" s="101" t="str">
        <f>IF(Table_ErrorList[[#This Row],[Manual Reference]]="",Table_ErrorList[[#This Row],[''Attention To'' Refence]],Table_ErrorList[[#This Row],[Manual Reference]])&amp;","</f>
        <v>$I$30,</v>
      </c>
      <c r="K100" s="101" t="str">
        <f>SUBSTITUTE(SUBSTITUTE(VLOOKUP(Table_ErrorList[[#This Row],[Attention To Named Range]],Table_NamedRanges[],MATCH(Table_NamedRanges[[#Headers],[Reference Text]],Table_NamedRanges[#Headers],0),FALSE),"=",""),"'Travel Expense Summary'!","")</f>
        <v>$I$30</v>
      </c>
      <c r="L100" s="101"/>
      <c r="M100" s="81" t="s">
        <v>500</v>
      </c>
      <c r="N100" s="81" t="s">
        <v>415</v>
      </c>
      <c r="O100" s="81" t="b">
        <v>1</v>
      </c>
      <c r="P100" s="100" t="s">
        <v>416</v>
      </c>
      <c r="Q100" s="100" t="s">
        <v>417</v>
      </c>
      <c r="R100"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0" s="81" t="b">
        <v>1</v>
      </c>
      <c r="T100" s="101" t="str">
        <f>IF(LEN(Table_ErrorList[[#This Row],[Message Bar Display]])&gt;$U$5,"Too Long, Characters = "&amp;LEN(Table_ErrorList[[#This Row],[Message Bar Display]])," ")</f>
        <v xml:space="preserve"> </v>
      </c>
      <c r="U100" s="101" t="str">
        <f>IF(LEN(Table_ErrorList[[#This Row],[Details Explanation (Line '#1)]])&gt;$U$5,"Too Long, Characters = "&amp;LEN(Table_ErrorList[[#This Row],[Details Explanation (Line '#1)]])," ")</f>
        <v xml:space="preserve"> </v>
      </c>
      <c r="V100" s="101" t="str">
        <f>IF(LEN(Table_ErrorList[[#This Row],[Details Explanation (Line '#2)]])&gt;$U$5,"Too Long, Characters = "&amp;LEN(Table_ErrorList[[#This Row],[Details Explanation (Line '#2)]])," ")</f>
        <v xml:space="preserve"> </v>
      </c>
    </row>
    <row r="101" spans="1:22" ht="33.75" x14ac:dyDescent="0.25">
      <c r="A101" s="101" t="b">
        <f>AND(
OR(Others_Expense04=0,Others_Expense04="",Others_Expense04=Dropdown_NotSelectedValue),
COUNTA(Others_Date04,Others_Desc04, Others_From04, Others_To04, Others_Receipt04, Others_KM04)&gt;0)</f>
        <v>0</v>
      </c>
      <c r="B101" s="101" t="str">
        <f ca="1">IFERROR(INDIRECT(Table_ErrorList[[#This Row],[Attention To Named Range]]),"Error")</f>
        <v>Accomm-Hotel/Motel</v>
      </c>
      <c r="C101" s="96">
        <v>1010</v>
      </c>
      <c r="D101" s="96" t="str">
        <f ca="1">IF(Table_ErrorList[[#This Row],[Manual Hierarchy]]="",CONCATENATE(TEXT(Table_ErrorList[[#This Row],[Section '#]],"00"),"-",TEXT(COUNTIF($E101:OFFSET(Table_ErrorList[[#Headers],[Section '#]],1,0,1,1),Table_ErrorList[[#This Row],[Section '#]]),"000")),Table_ErrorList[[#This Row],[Manual Hierarchy]])</f>
        <v>07-030</v>
      </c>
      <c r="E101" s="98">
        <v>7</v>
      </c>
      <c r="F101" s="98" t="str">
        <f>IFERROR(VLOOKUP(Table_ErrorList[[#This Row],[Section '#]],Table_SectionNames[],MATCH(Table_SectionNames[[#Headers],[Name]],Table_SectionNames[#Headers],0),FALSE),"Not found")</f>
        <v>Other Expenses</v>
      </c>
      <c r="G101" s="98"/>
      <c r="H101" s="101" t="str">
        <f>IFERROR(VLOOKUP(Table_ErrorList[[#This Row],[Attention To Named Range]],Table_NamedRanges[],MATCH(Table_NamedRanges[[#Headers],[Reference Type]],Table_NamedRanges[#Headers],0),FALSE),"Error")</f>
        <v>Single Cell</v>
      </c>
      <c r="I101" s="96" t="s">
        <v>501</v>
      </c>
      <c r="J101" s="101" t="str">
        <f>IF(Table_ErrorList[[#This Row],[Manual Reference]]="",Table_ErrorList[[#This Row],[''Attention To'' Refence]],Table_ErrorList[[#This Row],[Manual Reference]])&amp;","</f>
        <v>$K$30,</v>
      </c>
      <c r="K101" s="101" t="str">
        <f>SUBSTITUTE(SUBSTITUTE(VLOOKUP(Table_ErrorList[[#This Row],[Attention To Named Range]],Table_NamedRanges[],MATCH(Table_NamedRanges[[#Headers],[Reference Text]],Table_NamedRanges[#Headers],0),FALSE),"=",""),"'Travel Expense Summary'!","")</f>
        <v>$K$30</v>
      </c>
      <c r="L101" s="101"/>
      <c r="M101" s="81" t="s">
        <v>502</v>
      </c>
      <c r="N101" s="81" t="s">
        <v>503</v>
      </c>
      <c r="O101" s="81" t="b">
        <v>1</v>
      </c>
      <c r="P101" s="100" t="s">
        <v>421</v>
      </c>
      <c r="Q101" s="100" t="s">
        <v>422</v>
      </c>
      <c r="R101"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01" s="81" t="b">
        <v>1</v>
      </c>
      <c r="T101" s="81" t="str">
        <f>IF(LEN(Table_ErrorList[[#This Row],[Message Bar Display]])&gt;$U$5,"Too Long, Characters = "&amp;LEN(Table_ErrorList[[#This Row],[Message Bar Display]])," ")</f>
        <v xml:space="preserve"> </v>
      </c>
      <c r="U101" s="81" t="str">
        <f>IF(LEN(Table_ErrorList[[#This Row],[Details Explanation (Line '#1)]])&gt;$U$5,"Too Long, Characters = "&amp;LEN(Table_ErrorList[[#This Row],[Details Explanation (Line '#1)]])," ")</f>
        <v xml:space="preserve"> </v>
      </c>
      <c r="V101" s="81" t="str">
        <f>IF(LEN(Table_ErrorList[[#This Row],[Details Explanation (Line '#2)]])&gt;$U$5,"Too Long, Characters = "&amp;LEN(Table_ErrorList[[#This Row],[Details Explanation (Line '#2)]])," ")</f>
        <v xml:space="preserve"> </v>
      </c>
    </row>
    <row r="102" spans="1:22" s="30" customFormat="1" ht="30" x14ac:dyDescent="0.25">
      <c r="A102" s="101" t="b">
        <f>IF(AND(ISBLANK(Others_Expense04)=FALSE,Others_Expense04&lt;&gt;Dropdown_NotSelectedValue),IFERROR(NOT(MATCH(Others_Expense04,Dropdown_Expenses,0)&gt;0),TRUE),FALSE)</f>
        <v>0</v>
      </c>
      <c r="B102" s="101" t="str">
        <f ca="1">IFERROR(INDIRECT(Table_ErrorList[[#This Row],[Attention To Named Range]]),"Error")</f>
        <v>Accomm-Hotel/Motel</v>
      </c>
      <c r="C102" s="96">
        <v>1011</v>
      </c>
      <c r="D102" s="96" t="str">
        <f ca="1">IF(Table_ErrorList[[#This Row],[Manual Hierarchy]]="",CONCATENATE(TEXT(Table_ErrorList[[#This Row],[Section '#]],"00"),"-",TEXT(COUNTIF($E102:OFFSET(Table_ErrorList[[#Headers],[Section '#]],1,0,1,1),Table_ErrorList[[#This Row],[Section '#]]),"000")),Table_ErrorList[[#This Row],[Manual Hierarchy]])</f>
        <v>07-031</v>
      </c>
      <c r="E102" s="98">
        <v>7</v>
      </c>
      <c r="F102" s="98" t="str">
        <f>IFERROR(VLOOKUP(Table_ErrorList[[#This Row],[Section '#]],Table_SectionNames[],MATCH(Table_SectionNames[[#Headers],[Name]],Table_SectionNames[#Headers],0),FALSE),"Not found")</f>
        <v>Other Expenses</v>
      </c>
      <c r="G102" s="98"/>
      <c r="H102" s="101" t="str">
        <f>IFERROR(VLOOKUP(Table_ErrorList[[#This Row],[Attention To Named Range]],Table_NamedRanges[],MATCH(Table_NamedRanges[[#Headers],[Reference Type]],Table_NamedRanges[#Headers],0),FALSE),"Error")</f>
        <v>Single Cell</v>
      </c>
      <c r="I102" s="96" t="s">
        <v>501</v>
      </c>
      <c r="J102" s="101" t="str">
        <f>IF(Table_ErrorList[[#This Row],[Manual Reference]]="",Table_ErrorList[[#This Row],[''Attention To'' Refence]],Table_ErrorList[[#This Row],[Manual Reference]])&amp;","</f>
        <v>$K$30,</v>
      </c>
      <c r="K102" s="101" t="str">
        <f>SUBSTITUTE(SUBSTITUTE(VLOOKUP(Table_ErrorList[[#This Row],[Attention To Named Range]],Table_NamedRanges[],MATCH(Table_NamedRanges[[#Headers],[Reference Text]],Table_NamedRanges[#Headers],0),FALSE),"=",""),"'Travel Expense Summary'!","")</f>
        <v>$K$30</v>
      </c>
      <c r="L102" s="101"/>
      <c r="M102" s="81" t="s">
        <v>504</v>
      </c>
      <c r="N102" s="81" t="s">
        <v>424</v>
      </c>
      <c r="O102" s="81" t="b">
        <v>1</v>
      </c>
      <c r="P102" s="100" t="s">
        <v>425</v>
      </c>
      <c r="Q102" s="100" t="s">
        <v>269</v>
      </c>
      <c r="R102"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02" s="81" t="b">
        <v>1</v>
      </c>
      <c r="T102" s="101" t="str">
        <f>IF(LEN(Table_ErrorList[[#This Row],[Message Bar Display]])&gt;$U$5,"Too Long, Characters = "&amp;LEN(Table_ErrorList[[#This Row],[Message Bar Display]])," ")</f>
        <v xml:space="preserve"> </v>
      </c>
      <c r="U102" s="101" t="str">
        <f>IF(LEN(Table_ErrorList[[#This Row],[Details Explanation (Line '#1)]])&gt;$U$5,"Too Long, Characters = "&amp;LEN(Table_ErrorList[[#This Row],[Details Explanation (Line '#1)]])," ")</f>
        <v xml:space="preserve"> </v>
      </c>
      <c r="V102" s="101" t="str">
        <f>IF(LEN(Table_ErrorList[[#This Row],[Details Explanation (Line '#2)]])&gt;$U$5,"Too Long, Characters = "&amp;LEN(Table_ErrorList[[#This Row],[Details Explanation (Line '#2)]])," ")</f>
        <v xml:space="preserve"> </v>
      </c>
    </row>
    <row r="103" spans="1:22" ht="30" x14ac:dyDescent="0.25">
      <c r="A103" s="101" t="b">
        <f>AND(
VLOOKUP(Others_Expense04,Table_Expenses[],MATCH(Table_Expenses[[#Headers],[DescriptionRequired]],Table_Expenses[#Headers],0),FALSE),
OR(Others_Desc04=0,Others_Desc04="",Others_Desc04=Dropdown_NotSelectedValue),
COUNTA(Others_Date04,Others_Expense04,, Others_From04, Others_To04, Others_Receipt04, Others_KM04)&gt;0)</f>
        <v>0</v>
      </c>
      <c r="B103" s="101" t="str">
        <f ca="1">IFERROR(INDIRECT(Table_ErrorList[[#This Row],[Attention To Named Range]]),"Error")</f>
        <v>Comfort Inn Sault Ste Marie</v>
      </c>
      <c r="C103" s="96">
        <v>1020</v>
      </c>
      <c r="D103" s="96" t="str">
        <f ca="1">IF(Table_ErrorList[[#This Row],[Manual Hierarchy]]="",CONCATENATE(TEXT(Table_ErrorList[[#This Row],[Section '#]],"00"),"-",TEXT(COUNTIF($E103:OFFSET(Table_ErrorList[[#Headers],[Section '#]],1,0,1,1),Table_ErrorList[[#This Row],[Section '#]]),"000")),Table_ErrorList[[#This Row],[Manual Hierarchy]])</f>
        <v>07-032</v>
      </c>
      <c r="E103" s="98">
        <v>7</v>
      </c>
      <c r="F103" s="98" t="str">
        <f>IFERROR(VLOOKUP(Table_ErrorList[[#This Row],[Section '#]],Table_SectionNames[],MATCH(Table_SectionNames[[#Headers],[Name]],Table_SectionNames[#Headers],0),FALSE),"Not found")</f>
        <v>Other Expenses</v>
      </c>
      <c r="G103" s="98"/>
      <c r="H103" s="101" t="str">
        <f>IFERROR(VLOOKUP(Table_ErrorList[[#This Row],[Attention To Named Range]],Table_NamedRanges[],MATCH(Table_NamedRanges[[#Headers],[Reference Type]],Table_NamedRanges[#Headers],0),FALSE),"Error")</f>
        <v>Single Cell</v>
      </c>
      <c r="I103" s="96" t="s">
        <v>505</v>
      </c>
      <c r="J103" s="101" t="str">
        <f>IF(Table_ErrorList[[#This Row],[Manual Reference]]="",Table_ErrorList[[#This Row],[''Attention To'' Refence]],Table_ErrorList[[#This Row],[Manual Reference]])&amp;","</f>
        <v>$M$30,</v>
      </c>
      <c r="K103" s="101" t="str">
        <f>SUBSTITUTE(SUBSTITUTE(VLOOKUP(Table_ErrorList[[#This Row],[Attention To Named Range]],Table_NamedRanges[],MATCH(Table_NamedRanges[[#Headers],[Reference Text]],Table_NamedRanges[#Headers],0),FALSE),"=",""),"'Travel Expense Summary'!","")</f>
        <v>$M$30</v>
      </c>
      <c r="L103" s="101"/>
      <c r="M103" s="81" t="s">
        <v>506</v>
      </c>
      <c r="N103" s="81" t="s">
        <v>507</v>
      </c>
      <c r="O103" s="81" t="b">
        <v>1</v>
      </c>
      <c r="P103" s="100" t="s">
        <v>429</v>
      </c>
      <c r="Q103" s="100" t="s">
        <v>430</v>
      </c>
      <c r="R103"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03" s="81" t="b">
        <v>1</v>
      </c>
      <c r="T103" s="81" t="str">
        <f>IF(LEN(Table_ErrorList[[#This Row],[Message Bar Display]])&gt;$U$5,"Too Long, Characters = "&amp;LEN(Table_ErrorList[[#This Row],[Message Bar Display]])," ")</f>
        <v xml:space="preserve"> </v>
      </c>
      <c r="U103" s="81" t="str">
        <f>IF(LEN(Table_ErrorList[[#This Row],[Details Explanation (Line '#1)]])&gt;$U$5,"Too Long, Characters = "&amp;LEN(Table_ErrorList[[#This Row],[Details Explanation (Line '#1)]])," ")</f>
        <v xml:space="preserve"> </v>
      </c>
      <c r="V103" s="81" t="str">
        <f>IF(LEN(Table_ErrorList[[#This Row],[Details Explanation (Line '#2)]])&gt;$U$5,"Too Long, Characters = "&amp;LEN(Table_ErrorList[[#This Row],[Details Explanation (Line '#2)]])," ")</f>
        <v xml:space="preserve"> </v>
      </c>
    </row>
    <row r="104" spans="1:22" ht="30" x14ac:dyDescent="0.25">
      <c r="A104" s="101" t="b">
        <f>AND(
VLOOKUP(Others_Expense04,Table_Expenses[],MATCH(Table_Expenses[[#Headers],[FromRequired]],Table_Expenses[#Headers],0),FALSE),
OR(Others_From04=0,Others_From04="",Others_From04=Dropdown_NotSelectedValue),
COUNTA(Others_Date04,Others_Expense04,Others_Desc04, Others_To04, Others_Receipt04, Others_KM04)&gt;0)</f>
        <v>0</v>
      </c>
      <c r="B104" s="101">
        <f ca="1">IFERROR(INDIRECT(Table_ErrorList[[#This Row],[Attention To Named Range]]),"Error")</f>
        <v>0</v>
      </c>
      <c r="C104" s="96">
        <v>1030</v>
      </c>
      <c r="D104" s="96" t="str">
        <f ca="1">IF(Table_ErrorList[[#This Row],[Manual Hierarchy]]="",CONCATENATE(TEXT(Table_ErrorList[[#This Row],[Section '#]],"00"),"-",TEXT(COUNTIF($E104:OFFSET(Table_ErrorList[[#Headers],[Section '#]],1,0,1,1),Table_ErrorList[[#This Row],[Section '#]]),"000")),Table_ErrorList[[#This Row],[Manual Hierarchy]])</f>
        <v>07-033</v>
      </c>
      <c r="E104" s="98">
        <v>7</v>
      </c>
      <c r="F104" s="98" t="str">
        <f>IFERROR(VLOOKUP(Table_ErrorList[[#This Row],[Section '#]],Table_SectionNames[],MATCH(Table_SectionNames[[#Headers],[Name]],Table_SectionNames[#Headers],0),FALSE),"Not found")</f>
        <v>Other Expenses</v>
      </c>
      <c r="G104" s="98"/>
      <c r="H104" s="101" t="str">
        <f>IFERROR(VLOOKUP(Table_ErrorList[[#This Row],[Attention To Named Range]],Table_NamedRanges[],MATCH(Table_NamedRanges[[#Headers],[Reference Type]],Table_NamedRanges[#Headers],0),FALSE),"Error")</f>
        <v>Single Cell</v>
      </c>
      <c r="I104" s="96" t="s">
        <v>508</v>
      </c>
      <c r="J104" s="101" t="str">
        <f>IF(Table_ErrorList[[#This Row],[Manual Reference]]="",Table_ErrorList[[#This Row],[''Attention To'' Refence]],Table_ErrorList[[#This Row],[Manual Reference]])&amp;","</f>
        <v>$R$30,</v>
      </c>
      <c r="K104" s="101" t="str">
        <f>SUBSTITUTE(SUBSTITUTE(VLOOKUP(Table_ErrorList[[#This Row],[Attention To Named Range]],Table_NamedRanges[],MATCH(Table_NamedRanges[[#Headers],[Reference Text]],Table_NamedRanges[#Headers],0),FALSE),"=",""),"'Travel Expense Summary'!","")</f>
        <v>$R$30</v>
      </c>
      <c r="L104" s="101"/>
      <c r="M104" s="81" t="s">
        <v>509</v>
      </c>
      <c r="N104" s="81" t="s">
        <v>510</v>
      </c>
      <c r="O104" s="81" t="b">
        <v>1</v>
      </c>
      <c r="P104" s="100" t="s">
        <v>434</v>
      </c>
      <c r="Q104" s="100" t="s">
        <v>435</v>
      </c>
      <c r="R104"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04" s="81" t="b">
        <v>1</v>
      </c>
      <c r="T104" s="81" t="str">
        <f>IF(LEN(Table_ErrorList[[#This Row],[Message Bar Display]])&gt;$U$5,"Too Long, Characters = "&amp;LEN(Table_ErrorList[[#This Row],[Message Bar Display]])," ")</f>
        <v xml:space="preserve"> </v>
      </c>
      <c r="U104" s="81" t="str">
        <f>IF(LEN(Table_ErrorList[[#This Row],[Details Explanation (Line '#1)]])&gt;$U$5,"Too Long, Characters = "&amp;LEN(Table_ErrorList[[#This Row],[Details Explanation (Line '#1)]])," ")</f>
        <v xml:space="preserve"> </v>
      </c>
      <c r="V104" s="81" t="str">
        <f>IF(LEN(Table_ErrorList[[#This Row],[Details Explanation (Line '#2)]])&gt;$U$5,"Too Long, Characters = "&amp;LEN(Table_ErrorList[[#This Row],[Details Explanation (Line '#2)]])," ")</f>
        <v xml:space="preserve"> </v>
      </c>
    </row>
    <row r="105" spans="1:22" ht="30" x14ac:dyDescent="0.25">
      <c r="A105" s="101" t="b">
        <f>AND(
VLOOKUP(Others_Expense04,Table_Expenses[],MATCH(Table_Expenses[[#Headers],[ToRequired]],Table_Expenses[#Headers],0),FALSE),
OR(Others_To04=0,Others_To04="",Others_To04=Dropdown_NotSelectedValue),
COUNTA(Others_Date04,Others_Expense04,Others_Desc04, Others_From04, Others_Receipt04, Others_KM04)&gt;0)</f>
        <v>0</v>
      </c>
      <c r="B105" s="101">
        <f ca="1">IFERROR(INDIRECT(Table_ErrorList[[#This Row],[Attention To Named Range]]),"Error")</f>
        <v>0</v>
      </c>
      <c r="C105" s="96">
        <v>1040</v>
      </c>
      <c r="D105" s="96" t="str">
        <f ca="1">IF(Table_ErrorList[[#This Row],[Manual Hierarchy]]="",CONCATENATE(TEXT(Table_ErrorList[[#This Row],[Section '#]],"00"),"-",TEXT(COUNTIF($E105:OFFSET(Table_ErrorList[[#Headers],[Section '#]],1,0,1,1),Table_ErrorList[[#This Row],[Section '#]]),"000")),Table_ErrorList[[#This Row],[Manual Hierarchy]])</f>
        <v>07-034</v>
      </c>
      <c r="E105" s="98">
        <v>7</v>
      </c>
      <c r="F105" s="98" t="str">
        <f>IFERROR(VLOOKUP(Table_ErrorList[[#This Row],[Section '#]],Table_SectionNames[],MATCH(Table_SectionNames[[#Headers],[Name]],Table_SectionNames[#Headers],0),FALSE),"Not found")</f>
        <v>Other Expenses</v>
      </c>
      <c r="G105" s="98"/>
      <c r="H105" s="101" t="str">
        <f>IFERROR(VLOOKUP(Table_ErrorList[[#This Row],[Attention To Named Range]],Table_NamedRanges[],MATCH(Table_NamedRanges[[#Headers],[Reference Type]],Table_NamedRanges[#Headers],0),FALSE),"Error")</f>
        <v>Single Cell</v>
      </c>
      <c r="I105" s="96" t="s">
        <v>511</v>
      </c>
      <c r="J105" s="101" t="str">
        <f>IF(Table_ErrorList[[#This Row],[Manual Reference]]="",Table_ErrorList[[#This Row],[''Attention To'' Refence]],Table_ErrorList[[#This Row],[Manual Reference]])&amp;","</f>
        <v>$T$30,</v>
      </c>
      <c r="K105" s="101" t="str">
        <f>SUBSTITUTE(SUBSTITUTE(VLOOKUP(Table_ErrorList[[#This Row],[Attention To Named Range]],Table_NamedRanges[],MATCH(Table_NamedRanges[[#Headers],[Reference Text]],Table_NamedRanges[#Headers],0),FALSE),"=",""),"'Travel Expense Summary'!","")</f>
        <v>$T$30</v>
      </c>
      <c r="L105" s="101"/>
      <c r="M105" s="81" t="s">
        <v>512</v>
      </c>
      <c r="N105" s="81" t="s">
        <v>513</v>
      </c>
      <c r="O105" s="81" t="b">
        <v>1</v>
      </c>
      <c r="P105" s="100" t="s">
        <v>439</v>
      </c>
      <c r="Q105" s="100" t="s">
        <v>435</v>
      </c>
      <c r="R105"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05" s="81" t="b">
        <v>1</v>
      </c>
      <c r="T105" s="81" t="str">
        <f>IF(LEN(Table_ErrorList[[#This Row],[Message Bar Display]])&gt;$U$5,"Too Long, Characters = "&amp;LEN(Table_ErrorList[[#This Row],[Message Bar Display]])," ")</f>
        <v xml:space="preserve"> </v>
      </c>
      <c r="U105" s="81" t="str">
        <f>IF(LEN(Table_ErrorList[[#This Row],[Details Explanation (Line '#1)]])&gt;$U$5,"Too Long, Characters = "&amp;LEN(Table_ErrorList[[#This Row],[Details Explanation (Line '#1)]])," ")</f>
        <v xml:space="preserve"> </v>
      </c>
      <c r="V105" s="81" t="str">
        <f>IF(LEN(Table_ErrorList[[#This Row],[Details Explanation (Line '#2)]])&gt;$U$5,"Too Long, Characters = "&amp;LEN(Table_ErrorList[[#This Row],[Details Explanation (Line '#2)]])," ")</f>
        <v xml:space="preserve"> </v>
      </c>
    </row>
    <row r="106" spans="1:22" ht="33.75" x14ac:dyDescent="0.25">
      <c r="A106" s="101" t="b">
        <f>AND(
VLOOKUP(Others_Expense04,Table_Expenses[],MATCH(Table_Expenses[[#Headers],[ReceiptRequired]],Table_Expenses[#Headers],0),FALSE),
OR(Others_Receipt04=0,Others_Receipt04="",Others_Receipt04=Dropdown_NotSelectedValue),
COUNTA(Others_Date04,Others_Expense04,Others_Desc04, Others_From04, Others_To04, Others_KM04)&gt;0)</f>
        <v>0</v>
      </c>
      <c r="B106" s="101">
        <f ca="1">IFERROR(INDIRECT(Table_ErrorList[[#This Row],[Attention To Named Range]]),"Error")</f>
        <v>128</v>
      </c>
      <c r="C106" s="96">
        <v>1050</v>
      </c>
      <c r="D106" s="96" t="str">
        <f ca="1">IF(Table_ErrorList[[#This Row],[Manual Hierarchy]]="",CONCATENATE(TEXT(Table_ErrorList[[#This Row],[Section '#]],"00"),"-",TEXT(COUNTIF($E106:OFFSET(Table_ErrorList[[#Headers],[Section '#]],1,0,1,1),Table_ErrorList[[#This Row],[Section '#]]),"000")),Table_ErrorList[[#This Row],[Manual Hierarchy]])</f>
        <v>07-035</v>
      </c>
      <c r="E106" s="98">
        <v>7</v>
      </c>
      <c r="F106" s="98" t="str">
        <f>IFERROR(VLOOKUP(Table_ErrorList[[#This Row],[Section '#]],Table_SectionNames[],MATCH(Table_SectionNames[[#Headers],[Name]],Table_SectionNames[#Headers],0),FALSE),"Not found")</f>
        <v>Other Expenses</v>
      </c>
      <c r="G106" s="98"/>
      <c r="H106" s="101" t="str">
        <f>IFERROR(VLOOKUP(Table_ErrorList[[#This Row],[Attention To Named Range]],Table_NamedRanges[],MATCH(Table_NamedRanges[[#Headers],[Reference Type]],Table_NamedRanges[#Headers],0),FALSE),"Error")</f>
        <v>Single Cell</v>
      </c>
      <c r="I106" s="96" t="s">
        <v>514</v>
      </c>
      <c r="J106" s="101" t="str">
        <f>IF(Table_ErrorList[[#This Row],[Manual Reference]]="",Table_ErrorList[[#This Row],[''Attention To'' Refence]],Table_ErrorList[[#This Row],[Manual Reference]])&amp;","</f>
        <v>$X$30,</v>
      </c>
      <c r="K106" s="101" t="str">
        <f>SUBSTITUTE(SUBSTITUTE(VLOOKUP(Table_ErrorList[[#This Row],[Attention To Named Range]],Table_NamedRanges[],MATCH(Table_NamedRanges[[#Headers],[Reference Text]],Table_NamedRanges[#Headers],0),FALSE),"=",""),"'Travel Expense Summary'!","")</f>
        <v>$X$30</v>
      </c>
      <c r="L106" s="101"/>
      <c r="M106" s="81" t="s">
        <v>515</v>
      </c>
      <c r="N106" s="81" t="s">
        <v>516</v>
      </c>
      <c r="O106" s="81" t="b">
        <v>1</v>
      </c>
      <c r="P106" s="100" t="s">
        <v>443</v>
      </c>
      <c r="Q106" s="100" t="s">
        <v>364</v>
      </c>
      <c r="R106"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06" s="81" t="b">
        <v>1</v>
      </c>
      <c r="T106" s="81" t="str">
        <f>IF(LEN(Table_ErrorList[[#This Row],[Message Bar Display]])&gt;$U$5,"Too Long, Characters = "&amp;LEN(Table_ErrorList[[#This Row],[Message Bar Display]])," ")</f>
        <v xml:space="preserve"> </v>
      </c>
      <c r="U106" s="81" t="str">
        <f>IF(LEN(Table_ErrorList[[#This Row],[Details Explanation (Line '#1)]])&gt;$U$5,"Too Long, Characters = "&amp;LEN(Table_ErrorList[[#This Row],[Details Explanation (Line '#1)]])," ")</f>
        <v xml:space="preserve"> </v>
      </c>
      <c r="V106" s="81" t="str">
        <f>IF(LEN(Table_ErrorList[[#This Row],[Details Explanation (Line '#2)]])&gt;$U$5,"Too Long, Characters = "&amp;LEN(Table_ErrorList[[#This Row],[Details Explanation (Line '#2)]])," ")</f>
        <v xml:space="preserve"> </v>
      </c>
    </row>
    <row r="107" spans="1:22" ht="45" x14ac:dyDescent="0.25">
      <c r="A107" s="101" t="b">
        <f>AND(
VLOOKUP(Others_Expense04,Table_Expenses[],MATCH(Table_Expenses[[#Headers],[KMRequired]],Table_Expenses[#Headers],0),FALSE),
OR(Others_KM04=0,Others_KM04="",Others_KM04=Dropdown_NotSelectedValue),
COUNTA(Others_Date04,Others_Expense04,Others_Desc04, Others_From04, Others_To04, Others_Receipt04)&gt;0)</f>
        <v>0</v>
      </c>
      <c r="B107" s="101">
        <f ca="1">IFERROR(INDIRECT(Table_ErrorList[[#This Row],[Attention To Named Range]]),"Error")</f>
        <v>0</v>
      </c>
      <c r="C107" s="96">
        <v>1060</v>
      </c>
      <c r="D107" s="96" t="str">
        <f ca="1">IF(Table_ErrorList[[#This Row],[Manual Hierarchy]]="",CONCATENATE(TEXT(Table_ErrorList[[#This Row],[Section '#]],"00"),"-",TEXT(COUNTIF($E107:OFFSET(Table_ErrorList[[#Headers],[Section '#]],1,0,1,1),Table_ErrorList[[#This Row],[Section '#]]),"000")),Table_ErrorList[[#This Row],[Manual Hierarchy]])</f>
        <v>07-036</v>
      </c>
      <c r="E107" s="98">
        <v>7</v>
      </c>
      <c r="F107" s="98" t="str">
        <f>IFERROR(VLOOKUP(Table_ErrorList[[#This Row],[Section '#]],Table_SectionNames[],MATCH(Table_SectionNames[[#Headers],[Name]],Table_SectionNames[#Headers],0),FALSE),"Not found")</f>
        <v>Other Expenses</v>
      </c>
      <c r="G107" s="98"/>
      <c r="H107" s="101" t="str">
        <f>IFERROR(VLOOKUP(Table_ErrorList[[#This Row],[Attention To Named Range]],Table_NamedRanges[],MATCH(Table_NamedRanges[[#Headers],[Reference Type]],Table_NamedRanges[#Headers],0),FALSE),"Error")</f>
        <v>Single Cell</v>
      </c>
      <c r="I107" s="96" t="s">
        <v>517</v>
      </c>
      <c r="J107" s="101" t="str">
        <f>IF(Table_ErrorList[[#This Row],[Manual Reference]]="",Table_ErrorList[[#This Row],[''Attention To'' Refence]],Table_ErrorList[[#This Row],[Manual Reference]])&amp;","</f>
        <v>$Y$30,</v>
      </c>
      <c r="K107" s="101" t="str">
        <f>SUBSTITUTE(SUBSTITUTE(VLOOKUP(Table_ErrorList[[#This Row],[Attention To Named Range]],Table_NamedRanges[],MATCH(Table_NamedRanges[[#Headers],[Reference Text]],Table_NamedRanges[#Headers],0),FALSE),"=",""),"'Travel Expense Summary'!","")</f>
        <v>$Y$30</v>
      </c>
      <c r="L107" s="101"/>
      <c r="M107" s="81" t="s">
        <v>518</v>
      </c>
      <c r="N107" s="81" t="s">
        <v>519</v>
      </c>
      <c r="O107" s="81" t="b">
        <v>1</v>
      </c>
      <c r="P107" s="100" t="s">
        <v>472</v>
      </c>
      <c r="Q107" s="100" t="s">
        <v>473</v>
      </c>
      <c r="R107"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07" s="81" t="b">
        <v>1</v>
      </c>
      <c r="T107" s="81" t="str">
        <f>IF(LEN(Table_ErrorList[[#This Row],[Message Bar Display]])&gt;$U$5,"Too Long, Characters = "&amp;LEN(Table_ErrorList[[#This Row],[Message Bar Display]])," ")</f>
        <v xml:space="preserve"> </v>
      </c>
      <c r="U107" s="81" t="str">
        <f>IF(LEN(Table_ErrorList[[#This Row],[Details Explanation (Line '#1)]])&gt;$U$5,"Too Long, Characters = "&amp;LEN(Table_ErrorList[[#This Row],[Details Explanation (Line '#1)]])," ")</f>
        <v xml:space="preserve"> </v>
      </c>
      <c r="V107" s="81" t="str">
        <f>IF(LEN(Table_ErrorList[[#This Row],[Details Explanation (Line '#2)]])&gt;$U$5,"Too Long, Characters = "&amp;LEN(Table_ErrorList[[#This Row],[Details Explanation (Line '#2)]])," ")</f>
        <v xml:space="preserve"> </v>
      </c>
    </row>
    <row r="108" spans="1:22" ht="30" x14ac:dyDescent="0.25">
      <c r="A108" s="101" t="b">
        <f>AND(
OR(Others_Date05=0,Others_Date05="",Others_Date05=Dropdown_NotSelectedValue),
COUNTA(Others_Expense05,Others_Desc05, Others_From05, Others_To05, Others_Receipt05, Others_KM05)&gt;0)</f>
        <v>0</v>
      </c>
      <c r="B108" s="101">
        <f ca="1">IFERROR(INDIRECT(Table_ErrorList[[#This Row],[Attention To Named Range]]),"Error")</f>
        <v>0</v>
      </c>
      <c r="C108" s="96">
        <v>1100</v>
      </c>
      <c r="D108" s="96" t="str">
        <f ca="1">IF(Table_ErrorList[[#This Row],[Manual Hierarchy]]="",CONCATENATE(TEXT(Table_ErrorList[[#This Row],[Section '#]],"00"),"-",TEXT(COUNTIF($E108:OFFSET(Table_ErrorList[[#Headers],[Section '#]],1,0,1,1),Table_ErrorList[[#This Row],[Section '#]]),"000")),Table_ErrorList[[#This Row],[Manual Hierarchy]])</f>
        <v>07-037</v>
      </c>
      <c r="E108" s="98">
        <v>7</v>
      </c>
      <c r="F108" s="98" t="str">
        <f>IFERROR(VLOOKUP(Table_ErrorList[[#This Row],[Section '#]],Table_SectionNames[],MATCH(Table_SectionNames[[#Headers],[Name]],Table_SectionNames[#Headers],0),FALSE),"Not found")</f>
        <v>Other Expenses</v>
      </c>
      <c r="G108" s="98"/>
      <c r="H108" s="101" t="str">
        <f>IFERROR(VLOOKUP(Table_ErrorList[[#This Row],[Attention To Named Range]],Table_NamedRanges[],MATCH(Table_NamedRanges[[#Headers],[Reference Type]],Table_NamedRanges[#Headers],0),FALSE),"Error")</f>
        <v>Single Cell</v>
      </c>
      <c r="I108" s="96" t="s">
        <v>520</v>
      </c>
      <c r="J108" s="101" t="str">
        <f>IF(Table_ErrorList[[#This Row],[Manual Reference]]="",Table_ErrorList[[#This Row],[''Attention To'' Refence]],Table_ErrorList[[#This Row],[Manual Reference]])&amp;","</f>
        <v>$I$31,</v>
      </c>
      <c r="K108" s="101" t="str">
        <f>SUBSTITUTE(SUBSTITUTE(VLOOKUP(Table_ErrorList[[#This Row],[Attention To Named Range]],Table_NamedRanges[],MATCH(Table_NamedRanges[[#Headers],[Reference Text]],Table_NamedRanges[#Headers],0),FALSE),"=",""),"'Travel Expense Summary'!","")</f>
        <v>$I$31</v>
      </c>
      <c r="L108" s="101"/>
      <c r="M108" s="81" t="s">
        <v>521</v>
      </c>
      <c r="N108" s="81" t="s">
        <v>522</v>
      </c>
      <c r="O108" s="81" t="b">
        <v>1</v>
      </c>
      <c r="P108" s="100" t="s">
        <v>354</v>
      </c>
      <c r="Q108" s="100" t="s">
        <v>355</v>
      </c>
      <c r="R108"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08" s="81" t="b">
        <v>1</v>
      </c>
      <c r="T108" s="81" t="str">
        <f>IF(LEN(Table_ErrorList[[#This Row],[Message Bar Display]])&gt;$U$5,"Too Long, Characters = "&amp;LEN(Table_ErrorList[[#This Row],[Message Bar Display]])," ")</f>
        <v xml:space="preserve"> </v>
      </c>
      <c r="U108" s="81" t="str">
        <f>IF(LEN(Table_ErrorList[[#This Row],[Details Explanation (Line '#1)]])&gt;$U$5,"Too Long, Characters = "&amp;LEN(Table_ErrorList[[#This Row],[Details Explanation (Line '#1)]])," ")</f>
        <v xml:space="preserve"> </v>
      </c>
      <c r="V108" s="81" t="str">
        <f>IF(LEN(Table_ErrorList[[#This Row],[Details Explanation (Line '#2)]])&gt;$U$5,"Too Long, Characters = "&amp;LEN(Table_ErrorList[[#This Row],[Details Explanation (Line '#2)]])," ")</f>
        <v xml:space="preserve"> </v>
      </c>
    </row>
    <row r="109" spans="1:22" s="30" customFormat="1" ht="30" x14ac:dyDescent="0.25">
      <c r="A109" s="101" t="b">
        <f>IF(
AND(Others_Date05&gt;0,NOT(OR(Others_Date05=0,Others_Date05="",Others_Date05=Dropdown_NotSelectedValue))),
NOT(AND(Field15_TravelStartDate&lt;=Others_Date05,Field16_TravelEndDate&gt;=Others_Date05)),FALSE)</f>
        <v>0</v>
      </c>
      <c r="B109" s="101">
        <f ca="1">IFERROR(INDIRECT(Table_ErrorList[[#This Row],[Attention To Named Range]]),"Error")</f>
        <v>0</v>
      </c>
      <c r="C109" s="96">
        <v>1101</v>
      </c>
      <c r="D109" s="96" t="str">
        <f ca="1">IF(Table_ErrorList[[#This Row],[Manual Hierarchy]]="",CONCATENATE(TEXT(Table_ErrorList[[#This Row],[Section '#]],"00"),"-",TEXT(COUNTIF($E109:OFFSET(Table_ErrorList[[#Headers],[Section '#]],1,0,1,1),Table_ErrorList[[#This Row],[Section '#]]),"000")),Table_ErrorList[[#This Row],[Manual Hierarchy]])</f>
        <v>07-038</v>
      </c>
      <c r="E109" s="98">
        <v>7</v>
      </c>
      <c r="F109" s="98" t="str">
        <f>IFERROR(VLOOKUP(Table_ErrorList[[#This Row],[Section '#]],Table_SectionNames[],MATCH(Table_SectionNames[[#Headers],[Name]],Table_SectionNames[#Headers],0),FALSE),"Not found")</f>
        <v>Other Expenses</v>
      </c>
      <c r="G109" s="98"/>
      <c r="H109" s="101" t="str">
        <f>IFERROR(VLOOKUP(Table_ErrorList[[#This Row],[Attention To Named Range]],Table_NamedRanges[],MATCH(Table_NamedRanges[[#Headers],[Reference Type]],Table_NamedRanges[#Headers],0),FALSE),"Error")</f>
        <v>Single Cell</v>
      </c>
      <c r="I109" s="96" t="s">
        <v>520</v>
      </c>
      <c r="J109" s="101" t="str">
        <f>IF(Table_ErrorList[[#This Row],[Manual Reference]]="",Table_ErrorList[[#This Row],[''Attention To'' Refence]],Table_ErrorList[[#This Row],[Manual Reference]])&amp;","</f>
        <v>$I$31,</v>
      </c>
      <c r="K109" s="101" t="str">
        <f>SUBSTITUTE(SUBSTITUTE(VLOOKUP(Table_ErrorList[[#This Row],[Attention To Named Range]],Table_NamedRanges[],MATCH(Table_NamedRanges[[#Headers],[Reference Text]],Table_NamedRanges[#Headers],0),FALSE),"=",""),"'Travel Expense Summary'!","")</f>
        <v>$I$31</v>
      </c>
      <c r="L109" s="101"/>
      <c r="M109" s="81" t="s">
        <v>523</v>
      </c>
      <c r="N109" s="81" t="s">
        <v>415</v>
      </c>
      <c r="O109" s="81" t="b">
        <v>1</v>
      </c>
      <c r="P109" s="100" t="s">
        <v>416</v>
      </c>
      <c r="Q109" s="100" t="s">
        <v>417</v>
      </c>
      <c r="R109"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9" s="81" t="b">
        <v>1</v>
      </c>
      <c r="T109" s="101" t="str">
        <f>IF(LEN(Table_ErrorList[[#This Row],[Message Bar Display]])&gt;$U$5,"Too Long, Characters = "&amp;LEN(Table_ErrorList[[#This Row],[Message Bar Display]])," ")</f>
        <v xml:space="preserve"> </v>
      </c>
      <c r="U109" s="101" t="str">
        <f>IF(LEN(Table_ErrorList[[#This Row],[Details Explanation (Line '#1)]])&gt;$U$5,"Too Long, Characters = "&amp;LEN(Table_ErrorList[[#This Row],[Details Explanation (Line '#1)]])," ")</f>
        <v xml:space="preserve"> </v>
      </c>
      <c r="V109" s="101" t="str">
        <f>IF(LEN(Table_ErrorList[[#This Row],[Details Explanation (Line '#2)]])&gt;$U$5,"Too Long, Characters = "&amp;LEN(Table_ErrorList[[#This Row],[Details Explanation (Line '#2)]])," ")</f>
        <v xml:space="preserve"> </v>
      </c>
    </row>
    <row r="110" spans="1:22" ht="33.75" x14ac:dyDescent="0.25">
      <c r="A110" s="101" t="b">
        <f>AND(
OR(Others_Expense05=0,Others_Expense05="",Others_Expense05=Dropdown_NotSelectedValue),
COUNTA(Others_Date05,Others_Desc05, Others_From05, Others_To05, Others_Receipt05, Others_KM05)&gt;0)</f>
        <v>0</v>
      </c>
      <c r="B110" s="101">
        <f ca="1">IFERROR(INDIRECT(Table_ErrorList[[#This Row],[Attention To Named Range]]),"Error")</f>
        <v>0</v>
      </c>
      <c r="C110" s="96">
        <v>1110</v>
      </c>
      <c r="D110" s="96" t="str">
        <f ca="1">IF(Table_ErrorList[[#This Row],[Manual Hierarchy]]="",CONCATENATE(TEXT(Table_ErrorList[[#This Row],[Section '#]],"00"),"-",TEXT(COUNTIF($E110:OFFSET(Table_ErrorList[[#Headers],[Section '#]],1,0,1,1),Table_ErrorList[[#This Row],[Section '#]]),"000")),Table_ErrorList[[#This Row],[Manual Hierarchy]])</f>
        <v>07-039</v>
      </c>
      <c r="E110" s="98">
        <v>7</v>
      </c>
      <c r="F110" s="98" t="str">
        <f>IFERROR(VLOOKUP(Table_ErrorList[[#This Row],[Section '#]],Table_SectionNames[],MATCH(Table_SectionNames[[#Headers],[Name]],Table_SectionNames[#Headers],0),FALSE),"Not found")</f>
        <v>Other Expenses</v>
      </c>
      <c r="G110" s="98"/>
      <c r="H110" s="101" t="str">
        <f>IFERROR(VLOOKUP(Table_ErrorList[[#This Row],[Attention To Named Range]],Table_NamedRanges[],MATCH(Table_NamedRanges[[#Headers],[Reference Type]],Table_NamedRanges[#Headers],0),FALSE),"Error")</f>
        <v>Single Cell</v>
      </c>
      <c r="I110" s="96" t="s">
        <v>524</v>
      </c>
      <c r="J110" s="101" t="str">
        <f>IF(Table_ErrorList[[#This Row],[Manual Reference]]="",Table_ErrorList[[#This Row],[''Attention To'' Refence]],Table_ErrorList[[#This Row],[Manual Reference]])&amp;","</f>
        <v>$K$31,</v>
      </c>
      <c r="K110" s="101" t="str">
        <f>SUBSTITUTE(SUBSTITUTE(VLOOKUP(Table_ErrorList[[#This Row],[Attention To Named Range]],Table_NamedRanges[],MATCH(Table_NamedRanges[[#Headers],[Reference Text]],Table_NamedRanges[#Headers],0),FALSE),"=",""),"'Travel Expense Summary'!","")</f>
        <v>$K$31</v>
      </c>
      <c r="L110" s="101"/>
      <c r="M110" s="81" t="s">
        <v>525</v>
      </c>
      <c r="N110" s="81" t="s">
        <v>526</v>
      </c>
      <c r="O110" s="81" t="b">
        <v>1</v>
      </c>
      <c r="P110" s="100" t="s">
        <v>421</v>
      </c>
      <c r="Q110" s="100" t="s">
        <v>422</v>
      </c>
      <c r="R110"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0" s="81" t="b">
        <v>1</v>
      </c>
      <c r="T110" s="81" t="str">
        <f>IF(LEN(Table_ErrorList[[#This Row],[Message Bar Display]])&gt;$U$5,"Too Long, Characters = "&amp;LEN(Table_ErrorList[[#This Row],[Message Bar Display]])," ")</f>
        <v xml:space="preserve"> </v>
      </c>
      <c r="U110" s="81" t="str">
        <f>IF(LEN(Table_ErrorList[[#This Row],[Details Explanation (Line '#1)]])&gt;$U$5,"Too Long, Characters = "&amp;LEN(Table_ErrorList[[#This Row],[Details Explanation (Line '#1)]])," ")</f>
        <v xml:space="preserve"> </v>
      </c>
      <c r="V110" s="81" t="str">
        <f>IF(LEN(Table_ErrorList[[#This Row],[Details Explanation (Line '#2)]])&gt;$U$5,"Too Long, Characters = "&amp;LEN(Table_ErrorList[[#This Row],[Details Explanation (Line '#2)]])," ")</f>
        <v xml:space="preserve"> </v>
      </c>
    </row>
    <row r="111" spans="1:22" s="30" customFormat="1" ht="30" x14ac:dyDescent="0.25">
      <c r="A111" s="101" t="b">
        <f>IF(AND(ISBLANK(Others_Expense05)=FALSE,Others_Expense05&lt;&gt;Dropdown_NotSelectedValue),IFERROR(NOT(MATCH(Others_Expense05,Dropdown_Expenses,0)&gt;0),TRUE),FALSE)</f>
        <v>0</v>
      </c>
      <c r="B111" s="101">
        <f ca="1">IFERROR(INDIRECT(Table_ErrorList[[#This Row],[Attention To Named Range]]),"Error")</f>
        <v>0</v>
      </c>
      <c r="C111" s="96">
        <v>1111</v>
      </c>
      <c r="D111" s="96" t="str">
        <f ca="1">IF(Table_ErrorList[[#This Row],[Manual Hierarchy]]="",CONCATENATE(TEXT(Table_ErrorList[[#This Row],[Section '#]],"00"),"-",TEXT(COUNTIF($E111:OFFSET(Table_ErrorList[[#Headers],[Section '#]],1,0,1,1),Table_ErrorList[[#This Row],[Section '#]]),"000")),Table_ErrorList[[#This Row],[Manual Hierarchy]])</f>
        <v>07-040</v>
      </c>
      <c r="E111" s="98">
        <v>7</v>
      </c>
      <c r="F111" s="98" t="str">
        <f>IFERROR(VLOOKUP(Table_ErrorList[[#This Row],[Section '#]],Table_SectionNames[],MATCH(Table_SectionNames[[#Headers],[Name]],Table_SectionNames[#Headers],0),FALSE),"Not found")</f>
        <v>Other Expenses</v>
      </c>
      <c r="G111" s="98"/>
      <c r="H111" s="101" t="str">
        <f>IFERROR(VLOOKUP(Table_ErrorList[[#This Row],[Attention To Named Range]],Table_NamedRanges[],MATCH(Table_NamedRanges[[#Headers],[Reference Type]],Table_NamedRanges[#Headers],0),FALSE),"Error")</f>
        <v>Single Cell</v>
      </c>
      <c r="I111" s="96" t="s">
        <v>524</v>
      </c>
      <c r="J111" s="101" t="str">
        <f>IF(Table_ErrorList[[#This Row],[Manual Reference]]="",Table_ErrorList[[#This Row],[''Attention To'' Refence]],Table_ErrorList[[#This Row],[Manual Reference]])&amp;","</f>
        <v>$K$31,</v>
      </c>
      <c r="K111" s="101" t="str">
        <f>SUBSTITUTE(SUBSTITUTE(VLOOKUP(Table_ErrorList[[#This Row],[Attention To Named Range]],Table_NamedRanges[],MATCH(Table_NamedRanges[[#Headers],[Reference Text]],Table_NamedRanges[#Headers],0),FALSE),"=",""),"'Travel Expense Summary'!","")</f>
        <v>$K$31</v>
      </c>
      <c r="L111" s="101"/>
      <c r="M111" s="81" t="s">
        <v>527</v>
      </c>
      <c r="N111" s="81" t="s">
        <v>424</v>
      </c>
      <c r="O111" s="81" t="b">
        <v>1</v>
      </c>
      <c r="P111" s="100" t="s">
        <v>425</v>
      </c>
      <c r="Q111" s="100" t="s">
        <v>269</v>
      </c>
      <c r="R111"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11" s="81" t="b">
        <v>1</v>
      </c>
      <c r="T111" s="101" t="str">
        <f>IF(LEN(Table_ErrorList[[#This Row],[Message Bar Display]])&gt;$U$5,"Too Long, Characters = "&amp;LEN(Table_ErrorList[[#This Row],[Message Bar Display]])," ")</f>
        <v xml:space="preserve"> </v>
      </c>
      <c r="U111" s="101" t="str">
        <f>IF(LEN(Table_ErrorList[[#This Row],[Details Explanation (Line '#1)]])&gt;$U$5,"Too Long, Characters = "&amp;LEN(Table_ErrorList[[#This Row],[Details Explanation (Line '#1)]])," ")</f>
        <v xml:space="preserve"> </v>
      </c>
      <c r="V111" s="101" t="str">
        <f>IF(LEN(Table_ErrorList[[#This Row],[Details Explanation (Line '#2)]])&gt;$U$5,"Too Long, Characters = "&amp;LEN(Table_ErrorList[[#This Row],[Details Explanation (Line '#2)]])," ")</f>
        <v xml:space="preserve"> </v>
      </c>
    </row>
    <row r="112" spans="1:22" ht="30" x14ac:dyDescent="0.25">
      <c r="A112" s="101" t="e">
        <f>AND(
VLOOKUP(Others_Expense05,Table_Expenses[],MATCH(Table_Expenses[[#Headers],[DescriptionRequired]],Table_Expenses[#Headers],0),FALSE),
OR(Others_Desc05=0,Others_Desc05="",Others_Desc05=Dropdown_NotSelectedValue),
COUNTA(Others_Date05,Others_Expense05,, Others_From05, Others_To05, Others_Receipt05, Others_KM05)&gt;0)</f>
        <v>#N/A</v>
      </c>
      <c r="B112" s="101">
        <f ca="1">IFERROR(INDIRECT(Table_ErrorList[[#This Row],[Attention To Named Range]]),"Error")</f>
        <v>0</v>
      </c>
      <c r="C112" s="96">
        <v>1120</v>
      </c>
      <c r="D112" s="96" t="str">
        <f ca="1">IF(Table_ErrorList[[#This Row],[Manual Hierarchy]]="",CONCATENATE(TEXT(Table_ErrorList[[#This Row],[Section '#]],"00"),"-",TEXT(COUNTIF($E112:OFFSET(Table_ErrorList[[#Headers],[Section '#]],1,0,1,1),Table_ErrorList[[#This Row],[Section '#]]),"000")),Table_ErrorList[[#This Row],[Manual Hierarchy]])</f>
        <v>07-041</v>
      </c>
      <c r="E112" s="98">
        <v>7</v>
      </c>
      <c r="F112" s="98" t="str">
        <f>IFERROR(VLOOKUP(Table_ErrorList[[#This Row],[Section '#]],Table_SectionNames[],MATCH(Table_SectionNames[[#Headers],[Name]],Table_SectionNames[#Headers],0),FALSE),"Not found")</f>
        <v>Other Expenses</v>
      </c>
      <c r="G112" s="98"/>
      <c r="H112" s="101" t="str">
        <f>IFERROR(VLOOKUP(Table_ErrorList[[#This Row],[Attention To Named Range]],Table_NamedRanges[],MATCH(Table_NamedRanges[[#Headers],[Reference Type]],Table_NamedRanges[#Headers],0),FALSE),"Error")</f>
        <v>Single Cell</v>
      </c>
      <c r="I112" s="96" t="s">
        <v>528</v>
      </c>
      <c r="J112" s="101" t="str">
        <f>IF(Table_ErrorList[[#This Row],[Manual Reference]]="",Table_ErrorList[[#This Row],[''Attention To'' Refence]],Table_ErrorList[[#This Row],[Manual Reference]])&amp;","</f>
        <v>$M$31,</v>
      </c>
      <c r="K112" s="101" t="str">
        <f>SUBSTITUTE(SUBSTITUTE(VLOOKUP(Table_ErrorList[[#This Row],[Attention To Named Range]],Table_NamedRanges[],MATCH(Table_NamedRanges[[#Headers],[Reference Text]],Table_NamedRanges[#Headers],0),FALSE),"=",""),"'Travel Expense Summary'!","")</f>
        <v>$M$31</v>
      </c>
      <c r="L112" s="101"/>
      <c r="M112" s="81" t="s">
        <v>529</v>
      </c>
      <c r="N112" s="81" t="s">
        <v>530</v>
      </c>
      <c r="O112" s="81" t="b">
        <v>1</v>
      </c>
      <c r="P112" s="100" t="s">
        <v>429</v>
      </c>
      <c r="Q112" s="100" t="s">
        <v>430</v>
      </c>
      <c r="R112"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12" s="81" t="b">
        <v>1</v>
      </c>
      <c r="T112" s="81" t="str">
        <f>IF(LEN(Table_ErrorList[[#This Row],[Message Bar Display]])&gt;$U$5,"Too Long, Characters = "&amp;LEN(Table_ErrorList[[#This Row],[Message Bar Display]])," ")</f>
        <v xml:space="preserve"> </v>
      </c>
      <c r="U112" s="81" t="str">
        <f>IF(LEN(Table_ErrorList[[#This Row],[Details Explanation (Line '#1)]])&gt;$U$5,"Too Long, Characters = "&amp;LEN(Table_ErrorList[[#This Row],[Details Explanation (Line '#1)]])," ")</f>
        <v xml:space="preserve"> </v>
      </c>
      <c r="V112" s="81" t="str">
        <f>IF(LEN(Table_ErrorList[[#This Row],[Details Explanation (Line '#2)]])&gt;$U$5,"Too Long, Characters = "&amp;LEN(Table_ErrorList[[#This Row],[Details Explanation (Line '#2)]])," ")</f>
        <v xml:space="preserve"> </v>
      </c>
    </row>
    <row r="113" spans="1:22" ht="30" x14ac:dyDescent="0.25">
      <c r="A113" s="101" t="e">
        <f>AND(
VLOOKUP(Others_Expense05,Table_Expenses[],MATCH(Table_Expenses[[#Headers],[FromRequired]],Table_Expenses[#Headers],0),FALSE),
OR(Others_From05=0,Others_From05="",Others_From05=Dropdown_NotSelectedValue),
COUNTA(Others_Date05,Others_Expense05,Others_Desc05, Others_To05, Others_Receipt05, Others_KM05)&gt;0)</f>
        <v>#N/A</v>
      </c>
      <c r="B113" s="101">
        <f ca="1">IFERROR(INDIRECT(Table_ErrorList[[#This Row],[Attention To Named Range]]),"Error")</f>
        <v>0</v>
      </c>
      <c r="C113" s="96">
        <v>1130</v>
      </c>
      <c r="D113" s="96" t="str">
        <f ca="1">IF(Table_ErrorList[[#This Row],[Manual Hierarchy]]="",CONCATENATE(TEXT(Table_ErrorList[[#This Row],[Section '#]],"00"),"-",TEXT(COUNTIF($E113:OFFSET(Table_ErrorList[[#Headers],[Section '#]],1,0,1,1),Table_ErrorList[[#This Row],[Section '#]]),"000")),Table_ErrorList[[#This Row],[Manual Hierarchy]])</f>
        <v>07-042</v>
      </c>
      <c r="E113" s="98">
        <v>7</v>
      </c>
      <c r="F113" s="98" t="str">
        <f>IFERROR(VLOOKUP(Table_ErrorList[[#This Row],[Section '#]],Table_SectionNames[],MATCH(Table_SectionNames[[#Headers],[Name]],Table_SectionNames[#Headers],0),FALSE),"Not found")</f>
        <v>Other Expenses</v>
      </c>
      <c r="G113" s="98"/>
      <c r="H113" s="101" t="str">
        <f>IFERROR(VLOOKUP(Table_ErrorList[[#This Row],[Attention To Named Range]],Table_NamedRanges[],MATCH(Table_NamedRanges[[#Headers],[Reference Type]],Table_NamedRanges[#Headers],0),FALSE),"Error")</f>
        <v>Single Cell</v>
      </c>
      <c r="I113" s="96" t="s">
        <v>531</v>
      </c>
      <c r="J113" s="101" t="str">
        <f>IF(Table_ErrorList[[#This Row],[Manual Reference]]="",Table_ErrorList[[#This Row],[''Attention To'' Refence]],Table_ErrorList[[#This Row],[Manual Reference]])&amp;","</f>
        <v>$R$31,</v>
      </c>
      <c r="K113" s="101" t="str">
        <f>SUBSTITUTE(SUBSTITUTE(VLOOKUP(Table_ErrorList[[#This Row],[Attention To Named Range]],Table_NamedRanges[],MATCH(Table_NamedRanges[[#Headers],[Reference Text]],Table_NamedRanges[#Headers],0),FALSE),"=",""),"'Travel Expense Summary'!","")</f>
        <v>$R$31</v>
      </c>
      <c r="L113" s="101"/>
      <c r="M113" s="81" t="s">
        <v>532</v>
      </c>
      <c r="N113" s="81" t="s">
        <v>533</v>
      </c>
      <c r="O113" s="81" t="b">
        <v>1</v>
      </c>
      <c r="P113" s="100" t="s">
        <v>434</v>
      </c>
      <c r="Q113" s="100" t="s">
        <v>435</v>
      </c>
      <c r="R113"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13" s="81" t="b">
        <v>1</v>
      </c>
      <c r="T113" s="81" t="str">
        <f>IF(LEN(Table_ErrorList[[#This Row],[Message Bar Display]])&gt;$U$5,"Too Long, Characters = "&amp;LEN(Table_ErrorList[[#This Row],[Message Bar Display]])," ")</f>
        <v xml:space="preserve"> </v>
      </c>
      <c r="U113" s="81" t="str">
        <f>IF(LEN(Table_ErrorList[[#This Row],[Details Explanation (Line '#1)]])&gt;$U$5,"Too Long, Characters = "&amp;LEN(Table_ErrorList[[#This Row],[Details Explanation (Line '#1)]])," ")</f>
        <v xml:space="preserve"> </v>
      </c>
      <c r="V113" s="81" t="str">
        <f>IF(LEN(Table_ErrorList[[#This Row],[Details Explanation (Line '#2)]])&gt;$U$5,"Too Long, Characters = "&amp;LEN(Table_ErrorList[[#This Row],[Details Explanation (Line '#2)]])," ")</f>
        <v xml:space="preserve"> </v>
      </c>
    </row>
    <row r="114" spans="1:22" ht="30" x14ac:dyDescent="0.25">
      <c r="A114" s="101" t="e">
        <f>AND(
VLOOKUP(Others_Expense05,Table_Expenses[],MATCH(Table_Expenses[[#Headers],[ToRequired]],Table_Expenses[#Headers],0),FALSE),
OR(Others_To05=0,Others_To05="",Others_To05=Dropdown_NotSelectedValue),
COUNTA(Others_Date05,Others_Expense05,Others_Desc05, Others_From05, Others_Receipt05, Others_KM05)&gt;0)</f>
        <v>#N/A</v>
      </c>
      <c r="B114" s="101">
        <f ca="1">IFERROR(INDIRECT(Table_ErrorList[[#This Row],[Attention To Named Range]]),"Error")</f>
        <v>0</v>
      </c>
      <c r="C114" s="96">
        <v>1140</v>
      </c>
      <c r="D114" s="96" t="str">
        <f ca="1">IF(Table_ErrorList[[#This Row],[Manual Hierarchy]]="",CONCATENATE(TEXT(Table_ErrorList[[#This Row],[Section '#]],"00"),"-",TEXT(COUNTIF($E114:OFFSET(Table_ErrorList[[#Headers],[Section '#]],1,0,1,1),Table_ErrorList[[#This Row],[Section '#]]),"000")),Table_ErrorList[[#This Row],[Manual Hierarchy]])</f>
        <v>07-043</v>
      </c>
      <c r="E114" s="98">
        <v>7</v>
      </c>
      <c r="F114" s="98" t="str">
        <f>IFERROR(VLOOKUP(Table_ErrorList[[#This Row],[Section '#]],Table_SectionNames[],MATCH(Table_SectionNames[[#Headers],[Name]],Table_SectionNames[#Headers],0),FALSE),"Not found")</f>
        <v>Other Expenses</v>
      </c>
      <c r="G114" s="98"/>
      <c r="H114" s="101" t="str">
        <f>IFERROR(VLOOKUP(Table_ErrorList[[#This Row],[Attention To Named Range]],Table_NamedRanges[],MATCH(Table_NamedRanges[[#Headers],[Reference Type]],Table_NamedRanges[#Headers],0),FALSE),"Error")</f>
        <v>Single Cell</v>
      </c>
      <c r="I114" s="96" t="s">
        <v>534</v>
      </c>
      <c r="J114" s="101" t="str">
        <f>IF(Table_ErrorList[[#This Row],[Manual Reference]]="",Table_ErrorList[[#This Row],[''Attention To'' Refence]],Table_ErrorList[[#This Row],[Manual Reference]])&amp;","</f>
        <v>$T$31,</v>
      </c>
      <c r="K114" s="101" t="str">
        <f>SUBSTITUTE(SUBSTITUTE(VLOOKUP(Table_ErrorList[[#This Row],[Attention To Named Range]],Table_NamedRanges[],MATCH(Table_NamedRanges[[#Headers],[Reference Text]],Table_NamedRanges[#Headers],0),FALSE),"=",""),"'Travel Expense Summary'!","")</f>
        <v>$T$31</v>
      </c>
      <c r="L114" s="101"/>
      <c r="M114" s="81" t="s">
        <v>535</v>
      </c>
      <c r="N114" s="81" t="s">
        <v>536</v>
      </c>
      <c r="O114" s="81" t="b">
        <v>1</v>
      </c>
      <c r="P114" s="100" t="s">
        <v>439</v>
      </c>
      <c r="Q114" s="100" t="s">
        <v>435</v>
      </c>
      <c r="R114"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14" s="81" t="b">
        <v>1</v>
      </c>
      <c r="T114" s="81" t="str">
        <f>IF(LEN(Table_ErrorList[[#This Row],[Message Bar Display]])&gt;$U$5,"Too Long, Characters = "&amp;LEN(Table_ErrorList[[#This Row],[Message Bar Display]])," ")</f>
        <v xml:space="preserve"> </v>
      </c>
      <c r="U114" s="81" t="str">
        <f>IF(LEN(Table_ErrorList[[#This Row],[Details Explanation (Line '#1)]])&gt;$U$5,"Too Long, Characters = "&amp;LEN(Table_ErrorList[[#This Row],[Details Explanation (Line '#1)]])," ")</f>
        <v xml:space="preserve"> </v>
      </c>
      <c r="V114" s="81" t="str">
        <f>IF(LEN(Table_ErrorList[[#This Row],[Details Explanation (Line '#2)]])&gt;$U$5,"Too Long, Characters = "&amp;LEN(Table_ErrorList[[#This Row],[Details Explanation (Line '#2)]])," ")</f>
        <v xml:space="preserve"> </v>
      </c>
    </row>
    <row r="115" spans="1:22" ht="33.75" x14ac:dyDescent="0.25">
      <c r="A115" s="101" t="e">
        <f>AND(
VLOOKUP(Others_Expense05,Table_Expenses[],MATCH(Table_Expenses[[#Headers],[ReceiptRequired]],Table_Expenses[#Headers],0),FALSE),
OR(Others_Receipt05=0,Others_Receipt05="",Others_Receipt05=Dropdown_NotSelectedValue),
COUNTA(Others_Date05,Others_Expense05,Others_Desc05, Others_From05, Others_To05, Others_KM05)&gt;0)</f>
        <v>#N/A</v>
      </c>
      <c r="B115" s="101">
        <f ca="1">IFERROR(INDIRECT(Table_ErrorList[[#This Row],[Attention To Named Range]]),"Error")</f>
        <v>0</v>
      </c>
      <c r="C115" s="96">
        <v>1150</v>
      </c>
      <c r="D115" s="96" t="str">
        <f ca="1">IF(Table_ErrorList[[#This Row],[Manual Hierarchy]]="",CONCATENATE(TEXT(Table_ErrorList[[#This Row],[Section '#]],"00"),"-",TEXT(COUNTIF($E115:OFFSET(Table_ErrorList[[#Headers],[Section '#]],1,0,1,1),Table_ErrorList[[#This Row],[Section '#]]),"000")),Table_ErrorList[[#This Row],[Manual Hierarchy]])</f>
        <v>07-044</v>
      </c>
      <c r="E115" s="98">
        <v>7</v>
      </c>
      <c r="F115" s="98" t="str">
        <f>IFERROR(VLOOKUP(Table_ErrorList[[#This Row],[Section '#]],Table_SectionNames[],MATCH(Table_SectionNames[[#Headers],[Name]],Table_SectionNames[#Headers],0),FALSE),"Not found")</f>
        <v>Other Expenses</v>
      </c>
      <c r="G115" s="98"/>
      <c r="H115" s="101" t="str">
        <f>IFERROR(VLOOKUP(Table_ErrorList[[#This Row],[Attention To Named Range]],Table_NamedRanges[],MATCH(Table_NamedRanges[[#Headers],[Reference Type]],Table_NamedRanges[#Headers],0),FALSE),"Error")</f>
        <v>Single Cell</v>
      </c>
      <c r="I115" s="96" t="s">
        <v>537</v>
      </c>
      <c r="J115" s="101" t="str">
        <f>IF(Table_ErrorList[[#This Row],[Manual Reference]]="",Table_ErrorList[[#This Row],[''Attention To'' Refence]],Table_ErrorList[[#This Row],[Manual Reference]])&amp;","</f>
        <v>$X$31,</v>
      </c>
      <c r="K115" s="101" t="str">
        <f>SUBSTITUTE(SUBSTITUTE(VLOOKUP(Table_ErrorList[[#This Row],[Attention To Named Range]],Table_NamedRanges[],MATCH(Table_NamedRanges[[#Headers],[Reference Text]],Table_NamedRanges[#Headers],0),FALSE),"=",""),"'Travel Expense Summary'!","")</f>
        <v>$X$31</v>
      </c>
      <c r="L115" s="101"/>
      <c r="M115" s="81" t="s">
        <v>538</v>
      </c>
      <c r="N115" s="81" t="s">
        <v>539</v>
      </c>
      <c r="O115" s="81" t="b">
        <v>1</v>
      </c>
      <c r="P115" s="100" t="s">
        <v>443</v>
      </c>
      <c r="Q115" s="100" t="s">
        <v>364</v>
      </c>
      <c r="R115"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15" s="81" t="b">
        <v>1</v>
      </c>
      <c r="T115" s="81" t="str">
        <f>IF(LEN(Table_ErrorList[[#This Row],[Message Bar Display]])&gt;$U$5,"Too Long, Characters = "&amp;LEN(Table_ErrorList[[#This Row],[Message Bar Display]])," ")</f>
        <v xml:space="preserve"> </v>
      </c>
      <c r="U115" s="81" t="str">
        <f>IF(LEN(Table_ErrorList[[#This Row],[Details Explanation (Line '#1)]])&gt;$U$5,"Too Long, Characters = "&amp;LEN(Table_ErrorList[[#This Row],[Details Explanation (Line '#1)]])," ")</f>
        <v xml:space="preserve"> </v>
      </c>
      <c r="V115" s="81" t="str">
        <f>IF(LEN(Table_ErrorList[[#This Row],[Details Explanation (Line '#2)]])&gt;$U$5,"Too Long, Characters = "&amp;LEN(Table_ErrorList[[#This Row],[Details Explanation (Line '#2)]])," ")</f>
        <v xml:space="preserve"> </v>
      </c>
    </row>
    <row r="116" spans="1:22" ht="45" x14ac:dyDescent="0.25">
      <c r="A116" s="101" t="e">
        <f>AND(
VLOOKUP(Others_Expense05,Table_Expenses[],MATCH(Table_Expenses[[#Headers],[KMRequired]],Table_Expenses[#Headers],0),FALSE),
OR(Others_KM05=0,Others_KM05="",Others_KM05=Dropdown_NotSelectedValue),
COUNTA(Others_Date05,Others_Expense05,Others_Desc05, Others_From05, Others_To05, Others_Receipt05)&gt;0)</f>
        <v>#N/A</v>
      </c>
      <c r="B116" s="101">
        <f ca="1">IFERROR(INDIRECT(Table_ErrorList[[#This Row],[Attention To Named Range]]),"Error")</f>
        <v>0</v>
      </c>
      <c r="C116" s="96">
        <v>1160</v>
      </c>
      <c r="D116" s="96" t="str">
        <f ca="1">IF(Table_ErrorList[[#This Row],[Manual Hierarchy]]="",CONCATENATE(TEXT(Table_ErrorList[[#This Row],[Section '#]],"00"),"-",TEXT(COUNTIF($E116:OFFSET(Table_ErrorList[[#Headers],[Section '#]],1,0,1,1),Table_ErrorList[[#This Row],[Section '#]]),"000")),Table_ErrorList[[#This Row],[Manual Hierarchy]])</f>
        <v>07-045</v>
      </c>
      <c r="E116" s="98">
        <v>7</v>
      </c>
      <c r="F116" s="98" t="str">
        <f>IFERROR(VLOOKUP(Table_ErrorList[[#This Row],[Section '#]],Table_SectionNames[],MATCH(Table_SectionNames[[#Headers],[Name]],Table_SectionNames[#Headers],0),FALSE),"Not found")</f>
        <v>Other Expenses</v>
      </c>
      <c r="G116" s="98"/>
      <c r="H116" s="101" t="str">
        <f>IFERROR(VLOOKUP(Table_ErrorList[[#This Row],[Attention To Named Range]],Table_NamedRanges[],MATCH(Table_NamedRanges[[#Headers],[Reference Type]],Table_NamedRanges[#Headers],0),FALSE),"Error")</f>
        <v>Single Cell</v>
      </c>
      <c r="I116" s="96" t="s">
        <v>540</v>
      </c>
      <c r="J116" s="101" t="str">
        <f>IF(Table_ErrorList[[#This Row],[Manual Reference]]="",Table_ErrorList[[#This Row],[''Attention To'' Refence]],Table_ErrorList[[#This Row],[Manual Reference]])&amp;","</f>
        <v>$Y$31,</v>
      </c>
      <c r="K116" s="101" t="str">
        <f>SUBSTITUTE(SUBSTITUTE(VLOOKUP(Table_ErrorList[[#This Row],[Attention To Named Range]],Table_NamedRanges[],MATCH(Table_NamedRanges[[#Headers],[Reference Text]],Table_NamedRanges[#Headers],0),FALSE),"=",""),"'Travel Expense Summary'!","")</f>
        <v>$Y$31</v>
      </c>
      <c r="L116" s="101"/>
      <c r="M116" s="81" t="s">
        <v>541</v>
      </c>
      <c r="N116" s="81" t="s">
        <v>542</v>
      </c>
      <c r="O116" s="81" t="b">
        <v>1</v>
      </c>
      <c r="P116" s="100" t="s">
        <v>472</v>
      </c>
      <c r="Q116" s="100" t="s">
        <v>473</v>
      </c>
      <c r="R116"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16" s="81" t="b">
        <v>1</v>
      </c>
      <c r="T116" s="81" t="str">
        <f>IF(LEN(Table_ErrorList[[#This Row],[Message Bar Display]])&gt;$U$5,"Too Long, Characters = "&amp;LEN(Table_ErrorList[[#This Row],[Message Bar Display]])," ")</f>
        <v xml:space="preserve"> </v>
      </c>
      <c r="U116" s="81" t="str">
        <f>IF(LEN(Table_ErrorList[[#This Row],[Details Explanation (Line '#1)]])&gt;$U$5,"Too Long, Characters = "&amp;LEN(Table_ErrorList[[#This Row],[Details Explanation (Line '#1)]])," ")</f>
        <v xml:space="preserve"> </v>
      </c>
      <c r="V116" s="81" t="str">
        <f>IF(LEN(Table_ErrorList[[#This Row],[Details Explanation (Line '#2)]])&gt;$U$5,"Too Long, Characters = "&amp;LEN(Table_ErrorList[[#This Row],[Details Explanation (Line '#2)]])," ")</f>
        <v xml:space="preserve"> </v>
      </c>
    </row>
    <row r="117" spans="1:22" ht="30" x14ac:dyDescent="0.25">
      <c r="A117" s="101" t="b">
        <f>AND(
OR(Others_Date06=0,Others_Date06="",Others_Date06=Dropdown_NotSelectedValue),
COUNTA(Others_Expense06,Others_Desc06, Others_From06, Others_To06, Others_Receipt06, Others_KM06)&gt;0)</f>
        <v>0</v>
      </c>
      <c r="B117" s="101">
        <f ca="1">IFERROR(INDIRECT(Table_ErrorList[[#This Row],[Attention To Named Range]]),"Error")</f>
        <v>0</v>
      </c>
      <c r="C117" s="96">
        <v>1200</v>
      </c>
      <c r="D117" s="96" t="str">
        <f ca="1">IF(Table_ErrorList[[#This Row],[Manual Hierarchy]]="",CONCATENATE(TEXT(Table_ErrorList[[#This Row],[Section '#]],"00"),"-",TEXT(COUNTIF($E117:OFFSET(Table_ErrorList[[#Headers],[Section '#]],1,0,1,1),Table_ErrorList[[#This Row],[Section '#]]),"000")),Table_ErrorList[[#This Row],[Manual Hierarchy]])</f>
        <v>07-046</v>
      </c>
      <c r="E117" s="98">
        <v>7</v>
      </c>
      <c r="F117" s="98" t="str">
        <f>IFERROR(VLOOKUP(Table_ErrorList[[#This Row],[Section '#]],Table_SectionNames[],MATCH(Table_SectionNames[[#Headers],[Name]],Table_SectionNames[#Headers],0),FALSE),"Not found")</f>
        <v>Other Expenses</v>
      </c>
      <c r="G117" s="98"/>
      <c r="H117" s="101" t="str">
        <f>IFERROR(VLOOKUP(Table_ErrorList[[#This Row],[Attention To Named Range]],Table_NamedRanges[],MATCH(Table_NamedRanges[[#Headers],[Reference Type]],Table_NamedRanges[#Headers],0),FALSE),"Error")</f>
        <v>Single Cell</v>
      </c>
      <c r="I117" s="96" t="s">
        <v>543</v>
      </c>
      <c r="J117" s="101" t="str">
        <f>IF(Table_ErrorList[[#This Row],[Manual Reference]]="",Table_ErrorList[[#This Row],[''Attention To'' Refence]],Table_ErrorList[[#This Row],[Manual Reference]])&amp;","</f>
        <v>$I$32,</v>
      </c>
      <c r="K117" s="101" t="str">
        <f>SUBSTITUTE(SUBSTITUTE(VLOOKUP(Table_ErrorList[[#This Row],[Attention To Named Range]],Table_NamedRanges[],MATCH(Table_NamedRanges[[#Headers],[Reference Text]],Table_NamedRanges[#Headers],0),FALSE),"=",""),"'Travel Expense Summary'!","")</f>
        <v>$I$32</v>
      </c>
      <c r="L117" s="101"/>
      <c r="M117" s="81" t="s">
        <v>544</v>
      </c>
      <c r="N117" s="81" t="s">
        <v>545</v>
      </c>
      <c r="O117" s="81" t="b">
        <v>1</v>
      </c>
      <c r="P117" s="100" t="s">
        <v>354</v>
      </c>
      <c r="Q117" s="100" t="s">
        <v>355</v>
      </c>
      <c r="R117"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17" s="81" t="b">
        <v>1</v>
      </c>
      <c r="T117" s="81" t="str">
        <f>IF(LEN(Table_ErrorList[[#This Row],[Message Bar Display]])&gt;$U$5,"Too Long, Characters = "&amp;LEN(Table_ErrorList[[#This Row],[Message Bar Display]])," ")</f>
        <v xml:space="preserve"> </v>
      </c>
      <c r="U117" s="81" t="str">
        <f>IF(LEN(Table_ErrorList[[#This Row],[Details Explanation (Line '#1)]])&gt;$U$5,"Too Long, Characters = "&amp;LEN(Table_ErrorList[[#This Row],[Details Explanation (Line '#1)]])," ")</f>
        <v xml:space="preserve"> </v>
      </c>
      <c r="V117" s="81" t="str">
        <f>IF(LEN(Table_ErrorList[[#This Row],[Details Explanation (Line '#2)]])&gt;$U$5,"Too Long, Characters = "&amp;LEN(Table_ErrorList[[#This Row],[Details Explanation (Line '#2)]])," ")</f>
        <v xml:space="preserve"> </v>
      </c>
    </row>
    <row r="118" spans="1:22" s="30" customFormat="1" ht="30" x14ac:dyDescent="0.25">
      <c r="A118" s="101" t="b">
        <f>IF(
AND(Others_Date06&gt;0,NOT(OR(Others_Date06=0,Others_Date06="",Others_Date06=Dropdown_NotSelectedValue))),
NOT(AND(Field15_TravelStartDate&lt;=Others_Date06,Field16_TravelEndDate&gt;=Others_Date06)),FALSE)</f>
        <v>0</v>
      </c>
      <c r="B118" s="101">
        <f ca="1">IFERROR(INDIRECT(Table_ErrorList[[#This Row],[Attention To Named Range]]),"Error")</f>
        <v>0</v>
      </c>
      <c r="C118" s="96">
        <v>1201</v>
      </c>
      <c r="D118" s="96" t="str">
        <f ca="1">IF(Table_ErrorList[[#This Row],[Manual Hierarchy]]="",CONCATENATE(TEXT(Table_ErrorList[[#This Row],[Section '#]],"00"),"-",TEXT(COUNTIF($E118:OFFSET(Table_ErrorList[[#Headers],[Section '#]],1,0,1,1),Table_ErrorList[[#This Row],[Section '#]]),"000")),Table_ErrorList[[#This Row],[Manual Hierarchy]])</f>
        <v>07-047</v>
      </c>
      <c r="E118" s="98">
        <v>7</v>
      </c>
      <c r="F118" s="98" t="str">
        <f>IFERROR(VLOOKUP(Table_ErrorList[[#This Row],[Section '#]],Table_SectionNames[],MATCH(Table_SectionNames[[#Headers],[Name]],Table_SectionNames[#Headers],0),FALSE),"Not found")</f>
        <v>Other Expenses</v>
      </c>
      <c r="G118" s="98"/>
      <c r="H118" s="101" t="str">
        <f>IFERROR(VLOOKUP(Table_ErrorList[[#This Row],[Attention To Named Range]],Table_NamedRanges[],MATCH(Table_NamedRanges[[#Headers],[Reference Type]],Table_NamedRanges[#Headers],0),FALSE),"Error")</f>
        <v>Single Cell</v>
      </c>
      <c r="I118" s="96" t="s">
        <v>543</v>
      </c>
      <c r="J118" s="101" t="str">
        <f>IF(Table_ErrorList[[#This Row],[Manual Reference]]="",Table_ErrorList[[#This Row],[''Attention To'' Refence]],Table_ErrorList[[#This Row],[Manual Reference]])&amp;","</f>
        <v>$I$32,</v>
      </c>
      <c r="K118" s="101" t="str">
        <f>SUBSTITUTE(SUBSTITUTE(VLOOKUP(Table_ErrorList[[#This Row],[Attention To Named Range]],Table_NamedRanges[],MATCH(Table_NamedRanges[[#Headers],[Reference Text]],Table_NamedRanges[#Headers],0),FALSE),"=",""),"'Travel Expense Summary'!","")</f>
        <v>$I$32</v>
      </c>
      <c r="L118" s="101"/>
      <c r="M118" s="81" t="s">
        <v>546</v>
      </c>
      <c r="N118" s="81" t="s">
        <v>415</v>
      </c>
      <c r="O118" s="81" t="b">
        <v>1</v>
      </c>
      <c r="P118" s="100" t="s">
        <v>416</v>
      </c>
      <c r="Q118" s="100" t="s">
        <v>417</v>
      </c>
      <c r="R118"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18" s="81" t="b">
        <v>1</v>
      </c>
      <c r="T118" s="101" t="str">
        <f>IF(LEN(Table_ErrorList[[#This Row],[Message Bar Display]])&gt;$U$5,"Too Long, Characters = "&amp;LEN(Table_ErrorList[[#This Row],[Message Bar Display]])," ")</f>
        <v xml:space="preserve"> </v>
      </c>
      <c r="U118" s="101" t="str">
        <f>IF(LEN(Table_ErrorList[[#This Row],[Details Explanation (Line '#1)]])&gt;$U$5,"Too Long, Characters = "&amp;LEN(Table_ErrorList[[#This Row],[Details Explanation (Line '#1)]])," ")</f>
        <v xml:space="preserve"> </v>
      </c>
      <c r="V118" s="101" t="str">
        <f>IF(LEN(Table_ErrorList[[#This Row],[Details Explanation (Line '#2)]])&gt;$U$5,"Too Long, Characters = "&amp;LEN(Table_ErrorList[[#This Row],[Details Explanation (Line '#2)]])," ")</f>
        <v xml:space="preserve"> </v>
      </c>
    </row>
    <row r="119" spans="1:22" ht="33.75" x14ac:dyDescent="0.25">
      <c r="A119" s="101" t="b">
        <f>AND(
OR(Others_Expense06=0,Others_Expense06="",Others_Expense06=Dropdown_NotSelectedValue),
COUNTA(Others_Date06,Others_Desc06, Others_From06, Others_To06, Others_Receipt06, Others_KM06)&gt;0)</f>
        <v>0</v>
      </c>
      <c r="B119" s="101">
        <f ca="1">IFERROR(INDIRECT(Table_ErrorList[[#This Row],[Attention To Named Range]]),"Error")</f>
        <v>0</v>
      </c>
      <c r="C119" s="96">
        <v>1210</v>
      </c>
      <c r="D119" s="96" t="str">
        <f ca="1">IF(Table_ErrorList[[#This Row],[Manual Hierarchy]]="",CONCATENATE(TEXT(Table_ErrorList[[#This Row],[Section '#]],"00"),"-",TEXT(COUNTIF($E119:OFFSET(Table_ErrorList[[#Headers],[Section '#]],1,0,1,1),Table_ErrorList[[#This Row],[Section '#]]),"000")),Table_ErrorList[[#This Row],[Manual Hierarchy]])</f>
        <v>07-048</v>
      </c>
      <c r="E119" s="98">
        <v>7</v>
      </c>
      <c r="F119" s="98" t="str">
        <f>IFERROR(VLOOKUP(Table_ErrorList[[#This Row],[Section '#]],Table_SectionNames[],MATCH(Table_SectionNames[[#Headers],[Name]],Table_SectionNames[#Headers],0),FALSE),"Not found")</f>
        <v>Other Expenses</v>
      </c>
      <c r="G119" s="98"/>
      <c r="H119" s="101" t="str">
        <f>IFERROR(VLOOKUP(Table_ErrorList[[#This Row],[Attention To Named Range]],Table_NamedRanges[],MATCH(Table_NamedRanges[[#Headers],[Reference Type]],Table_NamedRanges[#Headers],0),FALSE),"Error")</f>
        <v>Single Cell</v>
      </c>
      <c r="I119" s="96" t="s">
        <v>547</v>
      </c>
      <c r="J119" s="101" t="str">
        <f>IF(Table_ErrorList[[#This Row],[Manual Reference]]="",Table_ErrorList[[#This Row],[''Attention To'' Refence]],Table_ErrorList[[#This Row],[Manual Reference]])&amp;","</f>
        <v>$K$32,</v>
      </c>
      <c r="K119" s="101" t="str">
        <f>SUBSTITUTE(SUBSTITUTE(VLOOKUP(Table_ErrorList[[#This Row],[Attention To Named Range]],Table_NamedRanges[],MATCH(Table_NamedRanges[[#Headers],[Reference Text]],Table_NamedRanges[#Headers],0),FALSE),"=",""),"'Travel Expense Summary'!","")</f>
        <v>$K$32</v>
      </c>
      <c r="L119" s="101"/>
      <c r="M119" s="81" t="s">
        <v>548</v>
      </c>
      <c r="N119" s="81" t="s">
        <v>549</v>
      </c>
      <c r="O119" s="81" t="b">
        <v>1</v>
      </c>
      <c r="P119" s="100" t="s">
        <v>421</v>
      </c>
      <c r="Q119" s="100" t="s">
        <v>422</v>
      </c>
      <c r="R119"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9" s="81" t="b">
        <v>1</v>
      </c>
      <c r="T119" s="81" t="str">
        <f>IF(LEN(Table_ErrorList[[#This Row],[Message Bar Display]])&gt;$U$5,"Too Long, Characters = "&amp;LEN(Table_ErrorList[[#This Row],[Message Bar Display]])," ")</f>
        <v xml:space="preserve"> </v>
      </c>
      <c r="U119" s="81" t="str">
        <f>IF(LEN(Table_ErrorList[[#This Row],[Details Explanation (Line '#1)]])&gt;$U$5,"Too Long, Characters = "&amp;LEN(Table_ErrorList[[#This Row],[Details Explanation (Line '#1)]])," ")</f>
        <v xml:space="preserve"> </v>
      </c>
      <c r="V119" s="81" t="str">
        <f>IF(LEN(Table_ErrorList[[#This Row],[Details Explanation (Line '#2)]])&gt;$U$5,"Too Long, Characters = "&amp;LEN(Table_ErrorList[[#This Row],[Details Explanation (Line '#2)]])," ")</f>
        <v xml:space="preserve"> </v>
      </c>
    </row>
    <row r="120" spans="1:22" s="30" customFormat="1" ht="30" x14ac:dyDescent="0.25">
      <c r="A120" s="101" t="b">
        <f>IF(AND(ISBLANK(Others_Expense06)=FALSE,Others_Expense06&lt;&gt;Dropdown_NotSelectedValue),IFERROR(NOT(MATCH(Others_Expense06,Dropdown_Expenses,0)&gt;0),TRUE),FALSE)</f>
        <v>0</v>
      </c>
      <c r="B120" s="101">
        <f ca="1">IFERROR(INDIRECT(Table_ErrorList[[#This Row],[Attention To Named Range]]),"Error")</f>
        <v>0</v>
      </c>
      <c r="C120" s="96">
        <v>1211</v>
      </c>
      <c r="D120" s="96" t="str">
        <f ca="1">IF(Table_ErrorList[[#This Row],[Manual Hierarchy]]="",CONCATENATE(TEXT(Table_ErrorList[[#This Row],[Section '#]],"00"),"-",TEXT(COUNTIF($E120:OFFSET(Table_ErrorList[[#Headers],[Section '#]],1,0,1,1),Table_ErrorList[[#This Row],[Section '#]]),"000")),Table_ErrorList[[#This Row],[Manual Hierarchy]])</f>
        <v>07-049</v>
      </c>
      <c r="E120" s="98">
        <v>7</v>
      </c>
      <c r="F120" s="98" t="str">
        <f>IFERROR(VLOOKUP(Table_ErrorList[[#This Row],[Section '#]],Table_SectionNames[],MATCH(Table_SectionNames[[#Headers],[Name]],Table_SectionNames[#Headers],0),FALSE),"Not found")</f>
        <v>Other Expenses</v>
      </c>
      <c r="G120" s="98"/>
      <c r="H120" s="101" t="str">
        <f>IFERROR(VLOOKUP(Table_ErrorList[[#This Row],[Attention To Named Range]],Table_NamedRanges[],MATCH(Table_NamedRanges[[#Headers],[Reference Type]],Table_NamedRanges[#Headers],0),FALSE),"Error")</f>
        <v>Single Cell</v>
      </c>
      <c r="I120" s="96" t="s">
        <v>547</v>
      </c>
      <c r="J120" s="101" t="str">
        <f>IF(Table_ErrorList[[#This Row],[Manual Reference]]="",Table_ErrorList[[#This Row],[''Attention To'' Refence]],Table_ErrorList[[#This Row],[Manual Reference]])&amp;","</f>
        <v>$K$32,</v>
      </c>
      <c r="K120" s="101" t="str">
        <f>SUBSTITUTE(SUBSTITUTE(VLOOKUP(Table_ErrorList[[#This Row],[Attention To Named Range]],Table_NamedRanges[],MATCH(Table_NamedRanges[[#Headers],[Reference Text]],Table_NamedRanges[#Headers],0),FALSE),"=",""),"'Travel Expense Summary'!","")</f>
        <v>$K$32</v>
      </c>
      <c r="L120" s="101"/>
      <c r="M120" s="81" t="s">
        <v>550</v>
      </c>
      <c r="N120" s="81" t="s">
        <v>424</v>
      </c>
      <c r="O120" s="81" t="b">
        <v>1</v>
      </c>
      <c r="P120" s="100" t="s">
        <v>425</v>
      </c>
      <c r="Q120" s="100" t="s">
        <v>269</v>
      </c>
      <c r="R120"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0" s="81" t="b">
        <v>1</v>
      </c>
      <c r="T120" s="101" t="str">
        <f>IF(LEN(Table_ErrorList[[#This Row],[Message Bar Display]])&gt;$U$5,"Too Long, Characters = "&amp;LEN(Table_ErrorList[[#This Row],[Message Bar Display]])," ")</f>
        <v xml:space="preserve"> </v>
      </c>
      <c r="U120" s="101" t="str">
        <f>IF(LEN(Table_ErrorList[[#This Row],[Details Explanation (Line '#1)]])&gt;$U$5,"Too Long, Characters = "&amp;LEN(Table_ErrorList[[#This Row],[Details Explanation (Line '#1)]])," ")</f>
        <v xml:space="preserve"> </v>
      </c>
      <c r="V120" s="101" t="str">
        <f>IF(LEN(Table_ErrorList[[#This Row],[Details Explanation (Line '#2)]])&gt;$U$5,"Too Long, Characters = "&amp;LEN(Table_ErrorList[[#This Row],[Details Explanation (Line '#2)]])," ")</f>
        <v xml:space="preserve"> </v>
      </c>
    </row>
    <row r="121" spans="1:22" ht="30" x14ac:dyDescent="0.25">
      <c r="A121" s="101" t="e">
        <f>AND(
VLOOKUP(Others_Expense06,Table_Expenses[],MATCH(Table_Expenses[[#Headers],[DescriptionRequired]],Table_Expenses[#Headers],0),FALSE),
OR(Others_Desc06=0,Others_Desc06="",Others_Desc06=Dropdown_NotSelectedValue),
COUNTA(Others_Date06,Others_Expense06,, Others_From06, Others_To06, Others_Receipt06, Others_KM06)&gt;0)</f>
        <v>#N/A</v>
      </c>
      <c r="B121" s="101">
        <f ca="1">IFERROR(INDIRECT(Table_ErrorList[[#This Row],[Attention To Named Range]]),"Error")</f>
        <v>0</v>
      </c>
      <c r="C121" s="96">
        <v>1220</v>
      </c>
      <c r="D121" s="96" t="str">
        <f ca="1">IF(Table_ErrorList[[#This Row],[Manual Hierarchy]]="",CONCATENATE(TEXT(Table_ErrorList[[#This Row],[Section '#]],"00"),"-",TEXT(COUNTIF($E121:OFFSET(Table_ErrorList[[#Headers],[Section '#]],1,0,1,1),Table_ErrorList[[#This Row],[Section '#]]),"000")),Table_ErrorList[[#This Row],[Manual Hierarchy]])</f>
        <v>07-050</v>
      </c>
      <c r="E121" s="98">
        <v>7</v>
      </c>
      <c r="F121" s="98" t="str">
        <f>IFERROR(VLOOKUP(Table_ErrorList[[#This Row],[Section '#]],Table_SectionNames[],MATCH(Table_SectionNames[[#Headers],[Name]],Table_SectionNames[#Headers],0),FALSE),"Not found")</f>
        <v>Other Expenses</v>
      </c>
      <c r="G121" s="98"/>
      <c r="H121" s="101" t="str">
        <f>IFERROR(VLOOKUP(Table_ErrorList[[#This Row],[Attention To Named Range]],Table_NamedRanges[],MATCH(Table_NamedRanges[[#Headers],[Reference Type]],Table_NamedRanges[#Headers],0),FALSE),"Error")</f>
        <v>Single Cell</v>
      </c>
      <c r="I121" s="96" t="s">
        <v>551</v>
      </c>
      <c r="J121" s="101" t="str">
        <f>IF(Table_ErrorList[[#This Row],[Manual Reference]]="",Table_ErrorList[[#This Row],[''Attention To'' Refence]],Table_ErrorList[[#This Row],[Manual Reference]])&amp;","</f>
        <v>$M$32,</v>
      </c>
      <c r="K121" s="101" t="str">
        <f>SUBSTITUTE(SUBSTITUTE(VLOOKUP(Table_ErrorList[[#This Row],[Attention To Named Range]],Table_NamedRanges[],MATCH(Table_NamedRanges[[#Headers],[Reference Text]],Table_NamedRanges[#Headers],0),FALSE),"=",""),"'Travel Expense Summary'!","")</f>
        <v>$M$32</v>
      </c>
      <c r="L121" s="101"/>
      <c r="M121" s="81" t="s">
        <v>552</v>
      </c>
      <c r="N121" s="81" t="s">
        <v>553</v>
      </c>
      <c r="O121" s="81" t="b">
        <v>1</v>
      </c>
      <c r="P121" s="100" t="s">
        <v>429</v>
      </c>
      <c r="Q121" s="100" t="s">
        <v>430</v>
      </c>
      <c r="R121"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21" s="81" t="b">
        <v>1</v>
      </c>
      <c r="T121" s="81" t="str">
        <f>IF(LEN(Table_ErrorList[[#This Row],[Message Bar Display]])&gt;$U$5,"Too Long, Characters = "&amp;LEN(Table_ErrorList[[#This Row],[Message Bar Display]])," ")</f>
        <v xml:space="preserve"> </v>
      </c>
      <c r="U121" s="81" t="str">
        <f>IF(LEN(Table_ErrorList[[#This Row],[Details Explanation (Line '#1)]])&gt;$U$5,"Too Long, Characters = "&amp;LEN(Table_ErrorList[[#This Row],[Details Explanation (Line '#1)]])," ")</f>
        <v xml:space="preserve"> </v>
      </c>
      <c r="V121" s="81" t="str">
        <f>IF(LEN(Table_ErrorList[[#This Row],[Details Explanation (Line '#2)]])&gt;$U$5,"Too Long, Characters = "&amp;LEN(Table_ErrorList[[#This Row],[Details Explanation (Line '#2)]])," ")</f>
        <v xml:space="preserve"> </v>
      </c>
    </row>
    <row r="122" spans="1:22" ht="30" x14ac:dyDescent="0.25">
      <c r="A122" s="101" t="e">
        <f>AND(
VLOOKUP(Others_Expense06,Table_Expenses[],MATCH(Table_Expenses[[#Headers],[FromRequired]],Table_Expenses[#Headers],0),FALSE),
OR(Others_From06=0,Others_From06="",Others_From06=Dropdown_NotSelectedValue),
COUNTA(Others_Date06,Others_Expense06,Others_Desc06, Others_To06, Others_Receipt06, Others_KM06)&gt;0)</f>
        <v>#N/A</v>
      </c>
      <c r="B122" s="101">
        <f ca="1">IFERROR(INDIRECT(Table_ErrorList[[#This Row],[Attention To Named Range]]),"Error")</f>
        <v>0</v>
      </c>
      <c r="C122" s="96">
        <v>1230</v>
      </c>
      <c r="D122" s="96" t="str">
        <f ca="1">IF(Table_ErrorList[[#This Row],[Manual Hierarchy]]="",CONCATENATE(TEXT(Table_ErrorList[[#This Row],[Section '#]],"00"),"-",TEXT(COUNTIF($E122:OFFSET(Table_ErrorList[[#Headers],[Section '#]],1,0,1,1),Table_ErrorList[[#This Row],[Section '#]]),"000")),Table_ErrorList[[#This Row],[Manual Hierarchy]])</f>
        <v>07-051</v>
      </c>
      <c r="E122" s="98">
        <v>7</v>
      </c>
      <c r="F122" s="98" t="str">
        <f>IFERROR(VLOOKUP(Table_ErrorList[[#This Row],[Section '#]],Table_SectionNames[],MATCH(Table_SectionNames[[#Headers],[Name]],Table_SectionNames[#Headers],0),FALSE),"Not found")</f>
        <v>Other Expenses</v>
      </c>
      <c r="G122" s="98"/>
      <c r="H122" s="101" t="str">
        <f>IFERROR(VLOOKUP(Table_ErrorList[[#This Row],[Attention To Named Range]],Table_NamedRanges[],MATCH(Table_NamedRanges[[#Headers],[Reference Type]],Table_NamedRanges[#Headers],0),FALSE),"Error")</f>
        <v>Single Cell</v>
      </c>
      <c r="I122" s="96" t="s">
        <v>554</v>
      </c>
      <c r="J122" s="101" t="str">
        <f>IF(Table_ErrorList[[#This Row],[Manual Reference]]="",Table_ErrorList[[#This Row],[''Attention To'' Refence]],Table_ErrorList[[#This Row],[Manual Reference]])&amp;","</f>
        <v>$R$32,</v>
      </c>
      <c r="K122" s="101" t="str">
        <f>SUBSTITUTE(SUBSTITUTE(VLOOKUP(Table_ErrorList[[#This Row],[Attention To Named Range]],Table_NamedRanges[],MATCH(Table_NamedRanges[[#Headers],[Reference Text]],Table_NamedRanges[#Headers],0),FALSE),"=",""),"'Travel Expense Summary'!","")</f>
        <v>$R$32</v>
      </c>
      <c r="L122" s="101"/>
      <c r="M122" s="81" t="s">
        <v>555</v>
      </c>
      <c r="N122" s="81" t="s">
        <v>556</v>
      </c>
      <c r="O122" s="81" t="b">
        <v>1</v>
      </c>
      <c r="P122" s="100" t="s">
        <v>434</v>
      </c>
      <c r="Q122" s="100" t="s">
        <v>435</v>
      </c>
      <c r="R122"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22" s="81" t="b">
        <v>1</v>
      </c>
      <c r="T122" s="81" t="str">
        <f>IF(LEN(Table_ErrorList[[#This Row],[Message Bar Display]])&gt;$U$5,"Too Long, Characters = "&amp;LEN(Table_ErrorList[[#This Row],[Message Bar Display]])," ")</f>
        <v xml:space="preserve"> </v>
      </c>
      <c r="U122" s="81" t="str">
        <f>IF(LEN(Table_ErrorList[[#This Row],[Details Explanation (Line '#1)]])&gt;$U$5,"Too Long, Characters = "&amp;LEN(Table_ErrorList[[#This Row],[Details Explanation (Line '#1)]])," ")</f>
        <v xml:space="preserve"> </v>
      </c>
      <c r="V122" s="81" t="str">
        <f>IF(LEN(Table_ErrorList[[#This Row],[Details Explanation (Line '#2)]])&gt;$U$5,"Too Long, Characters = "&amp;LEN(Table_ErrorList[[#This Row],[Details Explanation (Line '#2)]])," ")</f>
        <v xml:space="preserve"> </v>
      </c>
    </row>
    <row r="123" spans="1:22" ht="30" x14ac:dyDescent="0.25">
      <c r="A123" s="101" t="e">
        <f>AND(
VLOOKUP(Others_Expense06,Table_Expenses[],MATCH(Table_Expenses[[#Headers],[ToRequired]],Table_Expenses[#Headers],0),FALSE),
OR(Others_To06=0,Others_To06="",Others_To06=Dropdown_NotSelectedValue),
COUNTA(Others_Date06,Others_Expense06,Others_Desc06, Others_From06, Others_Receipt06, Others_KM06)&gt;0)</f>
        <v>#N/A</v>
      </c>
      <c r="B123" s="101">
        <f ca="1">IFERROR(INDIRECT(Table_ErrorList[[#This Row],[Attention To Named Range]]),"Error")</f>
        <v>0</v>
      </c>
      <c r="C123" s="96">
        <v>1240</v>
      </c>
      <c r="D123" s="96" t="str">
        <f ca="1">IF(Table_ErrorList[[#This Row],[Manual Hierarchy]]="",CONCATENATE(TEXT(Table_ErrorList[[#This Row],[Section '#]],"00"),"-",TEXT(COUNTIF($E123:OFFSET(Table_ErrorList[[#Headers],[Section '#]],1,0,1,1),Table_ErrorList[[#This Row],[Section '#]]),"000")),Table_ErrorList[[#This Row],[Manual Hierarchy]])</f>
        <v>07-052</v>
      </c>
      <c r="E123" s="98">
        <v>7</v>
      </c>
      <c r="F123" s="98" t="str">
        <f>IFERROR(VLOOKUP(Table_ErrorList[[#This Row],[Section '#]],Table_SectionNames[],MATCH(Table_SectionNames[[#Headers],[Name]],Table_SectionNames[#Headers],0),FALSE),"Not found")</f>
        <v>Other Expenses</v>
      </c>
      <c r="G123" s="98"/>
      <c r="H123" s="101" t="str">
        <f>IFERROR(VLOOKUP(Table_ErrorList[[#This Row],[Attention To Named Range]],Table_NamedRanges[],MATCH(Table_NamedRanges[[#Headers],[Reference Type]],Table_NamedRanges[#Headers],0),FALSE),"Error")</f>
        <v>Single Cell</v>
      </c>
      <c r="I123" s="96" t="s">
        <v>557</v>
      </c>
      <c r="J123" s="101" t="str">
        <f>IF(Table_ErrorList[[#This Row],[Manual Reference]]="",Table_ErrorList[[#This Row],[''Attention To'' Refence]],Table_ErrorList[[#This Row],[Manual Reference]])&amp;","</f>
        <v>$T$32,</v>
      </c>
      <c r="K123" s="101" t="str">
        <f>SUBSTITUTE(SUBSTITUTE(VLOOKUP(Table_ErrorList[[#This Row],[Attention To Named Range]],Table_NamedRanges[],MATCH(Table_NamedRanges[[#Headers],[Reference Text]],Table_NamedRanges[#Headers],0),FALSE),"=",""),"'Travel Expense Summary'!","")</f>
        <v>$T$32</v>
      </c>
      <c r="L123" s="101"/>
      <c r="M123" s="81" t="s">
        <v>558</v>
      </c>
      <c r="N123" s="81" t="s">
        <v>559</v>
      </c>
      <c r="O123" s="81" t="b">
        <v>1</v>
      </c>
      <c r="P123" s="100" t="s">
        <v>439</v>
      </c>
      <c r="Q123" s="100" t="s">
        <v>435</v>
      </c>
      <c r="R123"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23" s="81" t="b">
        <v>1</v>
      </c>
      <c r="T123" s="81" t="str">
        <f>IF(LEN(Table_ErrorList[[#This Row],[Message Bar Display]])&gt;$U$5,"Too Long, Characters = "&amp;LEN(Table_ErrorList[[#This Row],[Message Bar Display]])," ")</f>
        <v xml:space="preserve"> </v>
      </c>
      <c r="U123" s="81" t="str">
        <f>IF(LEN(Table_ErrorList[[#This Row],[Details Explanation (Line '#1)]])&gt;$U$5,"Too Long, Characters = "&amp;LEN(Table_ErrorList[[#This Row],[Details Explanation (Line '#1)]])," ")</f>
        <v xml:space="preserve"> </v>
      </c>
      <c r="V123" s="81" t="str">
        <f>IF(LEN(Table_ErrorList[[#This Row],[Details Explanation (Line '#2)]])&gt;$U$5,"Too Long, Characters = "&amp;LEN(Table_ErrorList[[#This Row],[Details Explanation (Line '#2)]])," ")</f>
        <v xml:space="preserve"> </v>
      </c>
    </row>
    <row r="124" spans="1:22" ht="33.75" x14ac:dyDescent="0.25">
      <c r="A124" s="101" t="e">
        <f>AND(
VLOOKUP(Others_Expense06,Table_Expenses[],MATCH(Table_Expenses[[#Headers],[ReceiptRequired]],Table_Expenses[#Headers],0),FALSE),
OR(Others_Receipt06=0,Others_Receipt06="",Others_Receipt06=Dropdown_NotSelectedValue),
COUNTA(Others_Date06,Others_Expense06,Others_Desc06, Others_From06, Others_To06, Others_KM06)&gt;0)</f>
        <v>#N/A</v>
      </c>
      <c r="B124" s="101">
        <f ca="1">IFERROR(INDIRECT(Table_ErrorList[[#This Row],[Attention To Named Range]]),"Error")</f>
        <v>0</v>
      </c>
      <c r="C124" s="96">
        <v>1250</v>
      </c>
      <c r="D124" s="96" t="str">
        <f ca="1">IF(Table_ErrorList[[#This Row],[Manual Hierarchy]]="",CONCATENATE(TEXT(Table_ErrorList[[#This Row],[Section '#]],"00"),"-",TEXT(COUNTIF($E124:OFFSET(Table_ErrorList[[#Headers],[Section '#]],1,0,1,1),Table_ErrorList[[#This Row],[Section '#]]),"000")),Table_ErrorList[[#This Row],[Manual Hierarchy]])</f>
        <v>07-053</v>
      </c>
      <c r="E124" s="98">
        <v>7</v>
      </c>
      <c r="F124" s="98" t="str">
        <f>IFERROR(VLOOKUP(Table_ErrorList[[#This Row],[Section '#]],Table_SectionNames[],MATCH(Table_SectionNames[[#Headers],[Name]],Table_SectionNames[#Headers],0),FALSE),"Not found")</f>
        <v>Other Expenses</v>
      </c>
      <c r="G124" s="98"/>
      <c r="H124" s="101" t="str">
        <f>IFERROR(VLOOKUP(Table_ErrorList[[#This Row],[Attention To Named Range]],Table_NamedRanges[],MATCH(Table_NamedRanges[[#Headers],[Reference Type]],Table_NamedRanges[#Headers],0),FALSE),"Error")</f>
        <v>Single Cell</v>
      </c>
      <c r="I124" s="96" t="s">
        <v>560</v>
      </c>
      <c r="J124" s="101" t="str">
        <f>IF(Table_ErrorList[[#This Row],[Manual Reference]]="",Table_ErrorList[[#This Row],[''Attention To'' Refence]],Table_ErrorList[[#This Row],[Manual Reference]])&amp;","</f>
        <v>$X$32,</v>
      </c>
      <c r="K124" s="101" t="str">
        <f>SUBSTITUTE(SUBSTITUTE(VLOOKUP(Table_ErrorList[[#This Row],[Attention To Named Range]],Table_NamedRanges[],MATCH(Table_NamedRanges[[#Headers],[Reference Text]],Table_NamedRanges[#Headers],0),FALSE),"=",""),"'Travel Expense Summary'!","")</f>
        <v>$X$32</v>
      </c>
      <c r="L124" s="101"/>
      <c r="M124" s="81" t="s">
        <v>561</v>
      </c>
      <c r="N124" s="81" t="s">
        <v>562</v>
      </c>
      <c r="O124" s="81" t="b">
        <v>1</v>
      </c>
      <c r="P124" s="100" t="s">
        <v>443</v>
      </c>
      <c r="Q124" s="100" t="s">
        <v>364</v>
      </c>
      <c r="R124"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24" s="81" t="b">
        <v>1</v>
      </c>
      <c r="T124" s="81" t="str">
        <f>IF(LEN(Table_ErrorList[[#This Row],[Message Bar Display]])&gt;$U$5,"Too Long, Characters = "&amp;LEN(Table_ErrorList[[#This Row],[Message Bar Display]])," ")</f>
        <v xml:space="preserve"> </v>
      </c>
      <c r="U124" s="81" t="str">
        <f>IF(LEN(Table_ErrorList[[#This Row],[Details Explanation (Line '#1)]])&gt;$U$5,"Too Long, Characters = "&amp;LEN(Table_ErrorList[[#This Row],[Details Explanation (Line '#1)]])," ")</f>
        <v xml:space="preserve"> </v>
      </c>
      <c r="V124" s="81" t="str">
        <f>IF(LEN(Table_ErrorList[[#This Row],[Details Explanation (Line '#2)]])&gt;$U$5,"Too Long, Characters = "&amp;LEN(Table_ErrorList[[#This Row],[Details Explanation (Line '#2)]])," ")</f>
        <v xml:space="preserve"> </v>
      </c>
    </row>
    <row r="125" spans="1:22" ht="45" x14ac:dyDescent="0.25">
      <c r="A125" s="101" t="e">
        <f>AND(
VLOOKUP(Others_Expense06,Table_Expenses[],MATCH(Table_Expenses[[#Headers],[KMRequired]],Table_Expenses[#Headers],0),FALSE),
OR(Others_KM06=0,Others_KM06="",Others_KM06=Dropdown_NotSelectedValue),
COUNTA(Others_Date06,Others_Expense06,Others_Desc06, Others_From06, Others_To06, Others_Receipt06)&gt;0)</f>
        <v>#N/A</v>
      </c>
      <c r="B125" s="101">
        <f ca="1">IFERROR(INDIRECT(Table_ErrorList[[#This Row],[Attention To Named Range]]),"Error")</f>
        <v>0</v>
      </c>
      <c r="C125" s="96">
        <v>1260</v>
      </c>
      <c r="D125" s="96" t="str">
        <f ca="1">IF(Table_ErrorList[[#This Row],[Manual Hierarchy]]="",CONCATENATE(TEXT(Table_ErrorList[[#This Row],[Section '#]],"00"),"-",TEXT(COUNTIF($E125:OFFSET(Table_ErrorList[[#Headers],[Section '#]],1,0,1,1),Table_ErrorList[[#This Row],[Section '#]]),"000")),Table_ErrorList[[#This Row],[Manual Hierarchy]])</f>
        <v>07-054</v>
      </c>
      <c r="E125" s="98">
        <v>7</v>
      </c>
      <c r="F125" s="98" t="str">
        <f>IFERROR(VLOOKUP(Table_ErrorList[[#This Row],[Section '#]],Table_SectionNames[],MATCH(Table_SectionNames[[#Headers],[Name]],Table_SectionNames[#Headers],0),FALSE),"Not found")</f>
        <v>Other Expenses</v>
      </c>
      <c r="G125" s="98"/>
      <c r="H125" s="101" t="str">
        <f>IFERROR(VLOOKUP(Table_ErrorList[[#This Row],[Attention To Named Range]],Table_NamedRanges[],MATCH(Table_NamedRanges[[#Headers],[Reference Type]],Table_NamedRanges[#Headers],0),FALSE),"Error")</f>
        <v>Single Cell</v>
      </c>
      <c r="I125" s="96" t="s">
        <v>563</v>
      </c>
      <c r="J125" s="101" t="str">
        <f>IF(Table_ErrorList[[#This Row],[Manual Reference]]="",Table_ErrorList[[#This Row],[''Attention To'' Refence]],Table_ErrorList[[#This Row],[Manual Reference]])&amp;","</f>
        <v>$Y$32,</v>
      </c>
      <c r="K125" s="101" t="str">
        <f>SUBSTITUTE(SUBSTITUTE(VLOOKUP(Table_ErrorList[[#This Row],[Attention To Named Range]],Table_NamedRanges[],MATCH(Table_NamedRanges[[#Headers],[Reference Text]],Table_NamedRanges[#Headers],0),FALSE),"=",""),"'Travel Expense Summary'!","")</f>
        <v>$Y$32</v>
      </c>
      <c r="L125" s="101"/>
      <c r="M125" s="81" t="s">
        <v>564</v>
      </c>
      <c r="N125" s="81" t="s">
        <v>565</v>
      </c>
      <c r="O125" s="81" t="b">
        <v>1</v>
      </c>
      <c r="P125" s="100" t="s">
        <v>472</v>
      </c>
      <c r="Q125" s="100" t="s">
        <v>473</v>
      </c>
      <c r="R125"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25" s="81" t="b">
        <v>1</v>
      </c>
      <c r="T125" s="81" t="str">
        <f>IF(LEN(Table_ErrorList[[#This Row],[Message Bar Display]])&gt;$U$5,"Too Long, Characters = "&amp;LEN(Table_ErrorList[[#This Row],[Message Bar Display]])," ")</f>
        <v xml:space="preserve"> </v>
      </c>
      <c r="U125" s="81" t="str">
        <f>IF(LEN(Table_ErrorList[[#This Row],[Details Explanation (Line '#1)]])&gt;$U$5,"Too Long, Characters = "&amp;LEN(Table_ErrorList[[#This Row],[Details Explanation (Line '#1)]])," ")</f>
        <v xml:space="preserve"> </v>
      </c>
      <c r="V125" s="81" t="str">
        <f>IF(LEN(Table_ErrorList[[#This Row],[Details Explanation (Line '#2)]])&gt;$U$5,"Too Long, Characters = "&amp;LEN(Table_ErrorList[[#This Row],[Details Explanation (Line '#2)]])," ")</f>
        <v xml:space="preserve"> </v>
      </c>
    </row>
    <row r="126" spans="1:22" ht="30" x14ac:dyDescent="0.25">
      <c r="A126" s="101" t="b">
        <f>AND(
OR(Others_Date07=0,Others_Date07="",Others_Date07=Dropdown_NotSelectedValue),
COUNTA(Others_Expense07,Others_Desc07, Others_From07, Others_To07, Others_Receipt07, Others_KM07)&gt;0)</f>
        <v>0</v>
      </c>
      <c r="B126" s="101">
        <f ca="1">IFERROR(INDIRECT(Table_ErrorList[[#This Row],[Attention To Named Range]]),"Error")</f>
        <v>0</v>
      </c>
      <c r="C126" s="96">
        <v>1300</v>
      </c>
      <c r="D126" s="96" t="str">
        <f ca="1">IF(Table_ErrorList[[#This Row],[Manual Hierarchy]]="",CONCATENATE(TEXT(Table_ErrorList[[#This Row],[Section '#]],"00"),"-",TEXT(COUNTIF($E126:OFFSET(Table_ErrorList[[#Headers],[Section '#]],1,0,1,1),Table_ErrorList[[#This Row],[Section '#]]),"000")),Table_ErrorList[[#This Row],[Manual Hierarchy]])</f>
        <v>07-055</v>
      </c>
      <c r="E126" s="98">
        <v>7</v>
      </c>
      <c r="F126" s="98" t="str">
        <f>IFERROR(VLOOKUP(Table_ErrorList[[#This Row],[Section '#]],Table_SectionNames[],MATCH(Table_SectionNames[[#Headers],[Name]],Table_SectionNames[#Headers],0),FALSE),"Not found")</f>
        <v>Other Expenses</v>
      </c>
      <c r="G126" s="98"/>
      <c r="H126" s="101" t="str">
        <f>IFERROR(VLOOKUP(Table_ErrorList[[#This Row],[Attention To Named Range]],Table_NamedRanges[],MATCH(Table_NamedRanges[[#Headers],[Reference Type]],Table_NamedRanges[#Headers],0),FALSE),"Error")</f>
        <v>Single Cell</v>
      </c>
      <c r="I126" s="96" t="s">
        <v>566</v>
      </c>
      <c r="J126" s="101" t="str">
        <f>IF(Table_ErrorList[[#This Row],[Manual Reference]]="",Table_ErrorList[[#This Row],[''Attention To'' Refence]],Table_ErrorList[[#This Row],[Manual Reference]])&amp;","</f>
        <v>$I$33,</v>
      </c>
      <c r="K126" s="101" t="str">
        <f>SUBSTITUTE(SUBSTITUTE(VLOOKUP(Table_ErrorList[[#This Row],[Attention To Named Range]],Table_NamedRanges[],MATCH(Table_NamedRanges[[#Headers],[Reference Text]],Table_NamedRanges[#Headers],0),FALSE),"=",""),"'Travel Expense Summary'!","")</f>
        <v>$I$33</v>
      </c>
      <c r="L126" s="101"/>
      <c r="M126" s="81" t="s">
        <v>567</v>
      </c>
      <c r="N126" s="81" t="s">
        <v>568</v>
      </c>
      <c r="O126" s="81" t="b">
        <v>1</v>
      </c>
      <c r="P126" s="100" t="s">
        <v>354</v>
      </c>
      <c r="Q126" s="100" t="s">
        <v>355</v>
      </c>
      <c r="R126"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26" s="81" t="b">
        <v>1</v>
      </c>
      <c r="T126" s="81" t="str">
        <f>IF(LEN(Table_ErrorList[[#This Row],[Message Bar Display]])&gt;$U$5,"Too Long, Characters = "&amp;LEN(Table_ErrorList[[#This Row],[Message Bar Display]])," ")</f>
        <v xml:space="preserve"> </v>
      </c>
      <c r="U126" s="81" t="str">
        <f>IF(LEN(Table_ErrorList[[#This Row],[Details Explanation (Line '#1)]])&gt;$U$5,"Too Long, Characters = "&amp;LEN(Table_ErrorList[[#This Row],[Details Explanation (Line '#1)]])," ")</f>
        <v xml:space="preserve"> </v>
      </c>
      <c r="V126" s="81" t="str">
        <f>IF(LEN(Table_ErrorList[[#This Row],[Details Explanation (Line '#2)]])&gt;$U$5,"Too Long, Characters = "&amp;LEN(Table_ErrorList[[#This Row],[Details Explanation (Line '#2)]])," ")</f>
        <v xml:space="preserve"> </v>
      </c>
    </row>
    <row r="127" spans="1:22" s="30" customFormat="1" ht="30" x14ac:dyDescent="0.25">
      <c r="A127" s="101" t="b">
        <f>IF(
AND(Others_Date07&gt;0,NOT(OR(Others_Date07=0,Others_Date07="",Others_Date07=Dropdown_NotSelectedValue))),
NOT(AND(Field15_TravelStartDate&lt;=Others_Date07,Field16_TravelEndDate&gt;=Others_Date07)),FALSE)</f>
        <v>0</v>
      </c>
      <c r="B127" s="101">
        <f ca="1">IFERROR(INDIRECT(Table_ErrorList[[#This Row],[Attention To Named Range]]),"Error")</f>
        <v>0</v>
      </c>
      <c r="C127" s="96">
        <v>1301</v>
      </c>
      <c r="D127" s="96" t="str">
        <f ca="1">IF(Table_ErrorList[[#This Row],[Manual Hierarchy]]="",CONCATENATE(TEXT(Table_ErrorList[[#This Row],[Section '#]],"00"),"-",TEXT(COUNTIF($E127:OFFSET(Table_ErrorList[[#Headers],[Section '#]],1,0,1,1),Table_ErrorList[[#This Row],[Section '#]]),"000")),Table_ErrorList[[#This Row],[Manual Hierarchy]])</f>
        <v>07-056</v>
      </c>
      <c r="E127" s="98">
        <v>7</v>
      </c>
      <c r="F127" s="98" t="str">
        <f>IFERROR(VLOOKUP(Table_ErrorList[[#This Row],[Section '#]],Table_SectionNames[],MATCH(Table_SectionNames[[#Headers],[Name]],Table_SectionNames[#Headers],0),FALSE),"Not found")</f>
        <v>Other Expenses</v>
      </c>
      <c r="G127" s="98"/>
      <c r="H127" s="101" t="str">
        <f>IFERROR(VLOOKUP(Table_ErrorList[[#This Row],[Attention To Named Range]],Table_NamedRanges[],MATCH(Table_NamedRanges[[#Headers],[Reference Type]],Table_NamedRanges[#Headers],0),FALSE),"Error")</f>
        <v>Single Cell</v>
      </c>
      <c r="I127" s="96" t="s">
        <v>566</v>
      </c>
      <c r="J127" s="101" t="str">
        <f>IF(Table_ErrorList[[#This Row],[Manual Reference]]="",Table_ErrorList[[#This Row],[''Attention To'' Refence]],Table_ErrorList[[#This Row],[Manual Reference]])&amp;","</f>
        <v>$I$33,</v>
      </c>
      <c r="K127" s="101" t="str">
        <f>SUBSTITUTE(SUBSTITUTE(VLOOKUP(Table_ErrorList[[#This Row],[Attention To Named Range]],Table_NamedRanges[],MATCH(Table_NamedRanges[[#Headers],[Reference Text]],Table_NamedRanges[#Headers],0),FALSE),"=",""),"'Travel Expense Summary'!","")</f>
        <v>$I$33</v>
      </c>
      <c r="L127" s="101"/>
      <c r="M127" s="81" t="s">
        <v>569</v>
      </c>
      <c r="N127" s="81" t="s">
        <v>415</v>
      </c>
      <c r="O127" s="81" t="b">
        <v>1</v>
      </c>
      <c r="P127" s="100" t="s">
        <v>416</v>
      </c>
      <c r="Q127" s="100" t="s">
        <v>417</v>
      </c>
      <c r="R127"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27" s="81" t="b">
        <v>1</v>
      </c>
      <c r="T127" s="101" t="str">
        <f>IF(LEN(Table_ErrorList[[#This Row],[Message Bar Display]])&gt;$U$5,"Too Long, Characters = "&amp;LEN(Table_ErrorList[[#This Row],[Message Bar Display]])," ")</f>
        <v xml:space="preserve"> </v>
      </c>
      <c r="U127" s="101" t="str">
        <f>IF(LEN(Table_ErrorList[[#This Row],[Details Explanation (Line '#1)]])&gt;$U$5,"Too Long, Characters = "&amp;LEN(Table_ErrorList[[#This Row],[Details Explanation (Line '#1)]])," ")</f>
        <v xml:space="preserve"> </v>
      </c>
      <c r="V127" s="101" t="str">
        <f>IF(LEN(Table_ErrorList[[#This Row],[Details Explanation (Line '#2)]])&gt;$U$5,"Too Long, Characters = "&amp;LEN(Table_ErrorList[[#This Row],[Details Explanation (Line '#2)]])," ")</f>
        <v xml:space="preserve"> </v>
      </c>
    </row>
    <row r="128" spans="1:22" ht="33.75" x14ac:dyDescent="0.25">
      <c r="A128" s="101" t="b">
        <f>AND(
OR(Others_Expense07=0,Others_Expense07="",Others_Expense07=Dropdown_NotSelectedValue),
COUNTA(Others_Date07,Others_Desc07, Others_From07, Others_To07, Others_Receipt07, Others_KM07)&gt;0)</f>
        <v>0</v>
      </c>
      <c r="B128" s="101">
        <f ca="1">IFERROR(INDIRECT(Table_ErrorList[[#This Row],[Attention To Named Range]]),"Error")</f>
        <v>0</v>
      </c>
      <c r="C128" s="96">
        <v>1310</v>
      </c>
      <c r="D128" s="96" t="str">
        <f ca="1">IF(Table_ErrorList[[#This Row],[Manual Hierarchy]]="",CONCATENATE(TEXT(Table_ErrorList[[#This Row],[Section '#]],"00"),"-",TEXT(COUNTIF($E128:OFFSET(Table_ErrorList[[#Headers],[Section '#]],1,0,1,1),Table_ErrorList[[#This Row],[Section '#]]),"000")),Table_ErrorList[[#This Row],[Manual Hierarchy]])</f>
        <v>07-057</v>
      </c>
      <c r="E128" s="98">
        <v>7</v>
      </c>
      <c r="F128" s="98" t="str">
        <f>IFERROR(VLOOKUP(Table_ErrorList[[#This Row],[Section '#]],Table_SectionNames[],MATCH(Table_SectionNames[[#Headers],[Name]],Table_SectionNames[#Headers],0),FALSE),"Not found")</f>
        <v>Other Expenses</v>
      </c>
      <c r="G128" s="98"/>
      <c r="H128" s="101" t="str">
        <f>IFERROR(VLOOKUP(Table_ErrorList[[#This Row],[Attention To Named Range]],Table_NamedRanges[],MATCH(Table_NamedRanges[[#Headers],[Reference Type]],Table_NamedRanges[#Headers],0),FALSE),"Error")</f>
        <v>Single Cell</v>
      </c>
      <c r="I128" s="96" t="s">
        <v>570</v>
      </c>
      <c r="J128" s="101" t="str">
        <f>IF(Table_ErrorList[[#This Row],[Manual Reference]]="",Table_ErrorList[[#This Row],[''Attention To'' Refence]],Table_ErrorList[[#This Row],[Manual Reference]])&amp;","</f>
        <v>$K$33,</v>
      </c>
      <c r="K128" s="101" t="str">
        <f>SUBSTITUTE(SUBSTITUTE(VLOOKUP(Table_ErrorList[[#This Row],[Attention To Named Range]],Table_NamedRanges[],MATCH(Table_NamedRanges[[#Headers],[Reference Text]],Table_NamedRanges[#Headers],0),FALSE),"=",""),"'Travel Expense Summary'!","")</f>
        <v>$K$33</v>
      </c>
      <c r="L128" s="101"/>
      <c r="M128" s="81" t="s">
        <v>571</v>
      </c>
      <c r="N128" s="81" t="s">
        <v>572</v>
      </c>
      <c r="O128" s="81" t="b">
        <v>1</v>
      </c>
      <c r="P128" s="100" t="s">
        <v>421</v>
      </c>
      <c r="Q128" s="100" t="s">
        <v>422</v>
      </c>
      <c r="R128"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28" s="81" t="b">
        <v>1</v>
      </c>
      <c r="T128" s="81" t="str">
        <f>IF(LEN(Table_ErrorList[[#This Row],[Message Bar Display]])&gt;$U$5,"Too Long, Characters = "&amp;LEN(Table_ErrorList[[#This Row],[Message Bar Display]])," ")</f>
        <v xml:space="preserve"> </v>
      </c>
      <c r="U128" s="81" t="str">
        <f>IF(LEN(Table_ErrorList[[#This Row],[Details Explanation (Line '#1)]])&gt;$U$5,"Too Long, Characters = "&amp;LEN(Table_ErrorList[[#This Row],[Details Explanation (Line '#1)]])," ")</f>
        <v xml:space="preserve"> </v>
      </c>
      <c r="V128" s="81" t="str">
        <f>IF(LEN(Table_ErrorList[[#This Row],[Details Explanation (Line '#2)]])&gt;$U$5,"Too Long, Characters = "&amp;LEN(Table_ErrorList[[#This Row],[Details Explanation (Line '#2)]])," ")</f>
        <v xml:space="preserve"> </v>
      </c>
    </row>
    <row r="129" spans="1:22" s="30" customFormat="1" ht="30" x14ac:dyDescent="0.25">
      <c r="A129" s="101" t="b">
        <f>IF(AND(ISBLANK(Others_Expense07)=FALSE,Others_Expense07&lt;&gt;Dropdown_NotSelectedValue),IFERROR(NOT(MATCH(Others_Expense07,Dropdown_Expenses,0)&gt;0),TRUE),FALSE)</f>
        <v>0</v>
      </c>
      <c r="B129" s="101">
        <f ca="1">IFERROR(INDIRECT(Table_ErrorList[[#This Row],[Attention To Named Range]]),"Error")</f>
        <v>0</v>
      </c>
      <c r="C129" s="96">
        <v>1311</v>
      </c>
      <c r="D129" s="96" t="str">
        <f ca="1">IF(Table_ErrorList[[#This Row],[Manual Hierarchy]]="",CONCATENATE(TEXT(Table_ErrorList[[#This Row],[Section '#]],"00"),"-",TEXT(COUNTIF($E129:OFFSET(Table_ErrorList[[#Headers],[Section '#]],1,0,1,1),Table_ErrorList[[#This Row],[Section '#]]),"000")),Table_ErrorList[[#This Row],[Manual Hierarchy]])</f>
        <v>07-058</v>
      </c>
      <c r="E129" s="98">
        <v>7</v>
      </c>
      <c r="F129" s="98" t="str">
        <f>IFERROR(VLOOKUP(Table_ErrorList[[#This Row],[Section '#]],Table_SectionNames[],MATCH(Table_SectionNames[[#Headers],[Name]],Table_SectionNames[#Headers],0),FALSE),"Not found")</f>
        <v>Other Expenses</v>
      </c>
      <c r="G129" s="98"/>
      <c r="H129" s="101" t="str">
        <f>IFERROR(VLOOKUP(Table_ErrorList[[#This Row],[Attention To Named Range]],Table_NamedRanges[],MATCH(Table_NamedRanges[[#Headers],[Reference Type]],Table_NamedRanges[#Headers],0),FALSE),"Error")</f>
        <v>Single Cell</v>
      </c>
      <c r="I129" s="96" t="s">
        <v>570</v>
      </c>
      <c r="J129" s="101" t="str">
        <f>IF(Table_ErrorList[[#This Row],[Manual Reference]]="",Table_ErrorList[[#This Row],[''Attention To'' Refence]],Table_ErrorList[[#This Row],[Manual Reference]])&amp;","</f>
        <v>$K$33,</v>
      </c>
      <c r="K129" s="101" t="str">
        <f>SUBSTITUTE(SUBSTITUTE(VLOOKUP(Table_ErrorList[[#This Row],[Attention To Named Range]],Table_NamedRanges[],MATCH(Table_NamedRanges[[#Headers],[Reference Text]],Table_NamedRanges[#Headers],0),FALSE),"=",""),"'Travel Expense Summary'!","")</f>
        <v>$K$33</v>
      </c>
      <c r="L129" s="101"/>
      <c r="M129" s="81" t="s">
        <v>573</v>
      </c>
      <c r="N129" s="81" t="s">
        <v>424</v>
      </c>
      <c r="O129" s="81" t="b">
        <v>1</v>
      </c>
      <c r="P129" s="100" t="s">
        <v>425</v>
      </c>
      <c r="Q129" s="100" t="s">
        <v>269</v>
      </c>
      <c r="R129"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9" s="81" t="b">
        <v>1</v>
      </c>
      <c r="T129" s="101" t="str">
        <f>IF(LEN(Table_ErrorList[[#This Row],[Message Bar Display]])&gt;$U$5,"Too Long, Characters = "&amp;LEN(Table_ErrorList[[#This Row],[Message Bar Display]])," ")</f>
        <v xml:space="preserve"> </v>
      </c>
      <c r="U129" s="101" t="str">
        <f>IF(LEN(Table_ErrorList[[#This Row],[Details Explanation (Line '#1)]])&gt;$U$5,"Too Long, Characters = "&amp;LEN(Table_ErrorList[[#This Row],[Details Explanation (Line '#1)]])," ")</f>
        <v xml:space="preserve"> </v>
      </c>
      <c r="V129" s="101" t="str">
        <f>IF(LEN(Table_ErrorList[[#This Row],[Details Explanation (Line '#2)]])&gt;$U$5,"Too Long, Characters = "&amp;LEN(Table_ErrorList[[#This Row],[Details Explanation (Line '#2)]])," ")</f>
        <v xml:space="preserve"> </v>
      </c>
    </row>
    <row r="130" spans="1:22" ht="30" x14ac:dyDescent="0.25">
      <c r="A130" s="101" t="e">
        <f>AND(
VLOOKUP(Others_Expense07,Table_Expenses[],MATCH(Table_Expenses[[#Headers],[DescriptionRequired]],Table_Expenses[#Headers],0),FALSE),
OR(Others_Desc07=0,Others_Desc07="",Others_Desc07=Dropdown_NotSelectedValue),
COUNTA(Others_Date07,Others_Expense07,, Others_From07, Others_To07, Others_Receipt07, Others_KM07)&gt;0)</f>
        <v>#N/A</v>
      </c>
      <c r="B130" s="101">
        <f ca="1">IFERROR(INDIRECT(Table_ErrorList[[#This Row],[Attention To Named Range]]),"Error")</f>
        <v>0</v>
      </c>
      <c r="C130" s="96">
        <v>1320</v>
      </c>
      <c r="D130" s="96" t="str">
        <f ca="1">IF(Table_ErrorList[[#This Row],[Manual Hierarchy]]="",CONCATENATE(TEXT(Table_ErrorList[[#This Row],[Section '#]],"00"),"-",TEXT(COUNTIF($E130:OFFSET(Table_ErrorList[[#Headers],[Section '#]],1,0,1,1),Table_ErrorList[[#This Row],[Section '#]]),"000")),Table_ErrorList[[#This Row],[Manual Hierarchy]])</f>
        <v>07-059</v>
      </c>
      <c r="E130" s="98">
        <v>7</v>
      </c>
      <c r="F130" s="98" t="str">
        <f>IFERROR(VLOOKUP(Table_ErrorList[[#This Row],[Section '#]],Table_SectionNames[],MATCH(Table_SectionNames[[#Headers],[Name]],Table_SectionNames[#Headers],0),FALSE),"Not found")</f>
        <v>Other Expenses</v>
      </c>
      <c r="G130" s="98"/>
      <c r="H130" s="101" t="str">
        <f>IFERROR(VLOOKUP(Table_ErrorList[[#This Row],[Attention To Named Range]],Table_NamedRanges[],MATCH(Table_NamedRanges[[#Headers],[Reference Type]],Table_NamedRanges[#Headers],0),FALSE),"Error")</f>
        <v>Single Cell</v>
      </c>
      <c r="I130" s="96" t="s">
        <v>574</v>
      </c>
      <c r="J130" s="101" t="str">
        <f>IF(Table_ErrorList[[#This Row],[Manual Reference]]="",Table_ErrorList[[#This Row],[''Attention To'' Refence]],Table_ErrorList[[#This Row],[Manual Reference]])&amp;","</f>
        <v>$M$33,</v>
      </c>
      <c r="K130" s="101" t="str">
        <f>SUBSTITUTE(SUBSTITUTE(VLOOKUP(Table_ErrorList[[#This Row],[Attention To Named Range]],Table_NamedRanges[],MATCH(Table_NamedRanges[[#Headers],[Reference Text]],Table_NamedRanges[#Headers],0),FALSE),"=",""),"'Travel Expense Summary'!","")</f>
        <v>$M$33</v>
      </c>
      <c r="L130" s="101"/>
      <c r="M130" s="81" t="s">
        <v>575</v>
      </c>
      <c r="N130" s="81" t="s">
        <v>576</v>
      </c>
      <c r="O130" s="81" t="b">
        <v>1</v>
      </c>
      <c r="P130" s="100" t="s">
        <v>429</v>
      </c>
      <c r="Q130" s="100" t="s">
        <v>430</v>
      </c>
      <c r="R130"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0" s="81" t="b">
        <v>1</v>
      </c>
      <c r="T130" s="81" t="str">
        <f>IF(LEN(Table_ErrorList[[#This Row],[Message Bar Display]])&gt;$U$5,"Too Long, Characters = "&amp;LEN(Table_ErrorList[[#This Row],[Message Bar Display]])," ")</f>
        <v xml:space="preserve"> </v>
      </c>
      <c r="U130" s="81" t="str">
        <f>IF(LEN(Table_ErrorList[[#This Row],[Details Explanation (Line '#1)]])&gt;$U$5,"Too Long, Characters = "&amp;LEN(Table_ErrorList[[#This Row],[Details Explanation (Line '#1)]])," ")</f>
        <v xml:space="preserve"> </v>
      </c>
      <c r="V130" s="81" t="str">
        <f>IF(LEN(Table_ErrorList[[#This Row],[Details Explanation (Line '#2)]])&gt;$U$5,"Too Long, Characters = "&amp;LEN(Table_ErrorList[[#This Row],[Details Explanation (Line '#2)]])," ")</f>
        <v xml:space="preserve"> </v>
      </c>
    </row>
    <row r="131" spans="1:22" ht="30" x14ac:dyDescent="0.25">
      <c r="A131" s="101" t="e">
        <f>AND(
VLOOKUP(Others_Expense07,Table_Expenses[],MATCH(Table_Expenses[[#Headers],[FromRequired]],Table_Expenses[#Headers],0),FALSE),
OR(Others_From07=0,Others_From07="",Others_From07=Dropdown_NotSelectedValue),
COUNTA(Others_Date07,Others_Expense07,Others_Desc07, Others_To07, Others_Receipt07, Others_KM07)&gt;0)</f>
        <v>#N/A</v>
      </c>
      <c r="B131" s="101">
        <f ca="1">IFERROR(INDIRECT(Table_ErrorList[[#This Row],[Attention To Named Range]]),"Error")</f>
        <v>0</v>
      </c>
      <c r="C131" s="96">
        <v>1330</v>
      </c>
      <c r="D131" s="96" t="str">
        <f ca="1">IF(Table_ErrorList[[#This Row],[Manual Hierarchy]]="",CONCATENATE(TEXT(Table_ErrorList[[#This Row],[Section '#]],"00"),"-",TEXT(COUNTIF($E131:OFFSET(Table_ErrorList[[#Headers],[Section '#]],1,0,1,1),Table_ErrorList[[#This Row],[Section '#]]),"000")),Table_ErrorList[[#This Row],[Manual Hierarchy]])</f>
        <v>07-060</v>
      </c>
      <c r="E131" s="98">
        <v>7</v>
      </c>
      <c r="F131" s="98" t="str">
        <f>IFERROR(VLOOKUP(Table_ErrorList[[#This Row],[Section '#]],Table_SectionNames[],MATCH(Table_SectionNames[[#Headers],[Name]],Table_SectionNames[#Headers],0),FALSE),"Not found")</f>
        <v>Other Expenses</v>
      </c>
      <c r="G131" s="98"/>
      <c r="H131" s="101" t="str">
        <f>IFERROR(VLOOKUP(Table_ErrorList[[#This Row],[Attention To Named Range]],Table_NamedRanges[],MATCH(Table_NamedRanges[[#Headers],[Reference Type]],Table_NamedRanges[#Headers],0),FALSE),"Error")</f>
        <v>Single Cell</v>
      </c>
      <c r="I131" s="96" t="s">
        <v>577</v>
      </c>
      <c r="J131" s="101" t="str">
        <f>IF(Table_ErrorList[[#This Row],[Manual Reference]]="",Table_ErrorList[[#This Row],[''Attention To'' Refence]],Table_ErrorList[[#This Row],[Manual Reference]])&amp;","</f>
        <v>$R$33,</v>
      </c>
      <c r="K131" s="101" t="str">
        <f>SUBSTITUTE(SUBSTITUTE(VLOOKUP(Table_ErrorList[[#This Row],[Attention To Named Range]],Table_NamedRanges[],MATCH(Table_NamedRanges[[#Headers],[Reference Text]],Table_NamedRanges[#Headers],0),FALSE),"=",""),"'Travel Expense Summary'!","")</f>
        <v>$R$33</v>
      </c>
      <c r="L131" s="101"/>
      <c r="M131" s="81" t="s">
        <v>578</v>
      </c>
      <c r="N131" s="81" t="s">
        <v>579</v>
      </c>
      <c r="O131" s="81" t="b">
        <v>1</v>
      </c>
      <c r="P131" s="100" t="s">
        <v>434</v>
      </c>
      <c r="Q131" s="100" t="s">
        <v>435</v>
      </c>
      <c r="R131"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31" s="81" t="b">
        <v>1</v>
      </c>
      <c r="T131" s="81" t="str">
        <f>IF(LEN(Table_ErrorList[[#This Row],[Message Bar Display]])&gt;$U$5,"Too Long, Characters = "&amp;LEN(Table_ErrorList[[#This Row],[Message Bar Display]])," ")</f>
        <v xml:space="preserve"> </v>
      </c>
      <c r="U131" s="81" t="str">
        <f>IF(LEN(Table_ErrorList[[#This Row],[Details Explanation (Line '#1)]])&gt;$U$5,"Too Long, Characters = "&amp;LEN(Table_ErrorList[[#This Row],[Details Explanation (Line '#1)]])," ")</f>
        <v xml:space="preserve"> </v>
      </c>
      <c r="V131" s="81" t="str">
        <f>IF(LEN(Table_ErrorList[[#This Row],[Details Explanation (Line '#2)]])&gt;$U$5,"Too Long, Characters = "&amp;LEN(Table_ErrorList[[#This Row],[Details Explanation (Line '#2)]])," ")</f>
        <v xml:space="preserve"> </v>
      </c>
    </row>
    <row r="132" spans="1:22" ht="30" x14ac:dyDescent="0.25">
      <c r="A132" s="101" t="e">
        <f>AND(
VLOOKUP(Others_Expense07,Table_Expenses[],MATCH(Table_Expenses[[#Headers],[ToRequired]],Table_Expenses[#Headers],0),FALSE),
OR(Others_To07=0,Others_To07="",Others_To07=Dropdown_NotSelectedValue),
COUNTA(Others_Date07,Others_Expense07,Others_Desc07, Others_From07, Others_Receipt07, Others_KM07)&gt;0)</f>
        <v>#N/A</v>
      </c>
      <c r="B132" s="101">
        <f ca="1">IFERROR(INDIRECT(Table_ErrorList[[#This Row],[Attention To Named Range]]),"Error")</f>
        <v>0</v>
      </c>
      <c r="C132" s="96">
        <v>1340</v>
      </c>
      <c r="D132" s="96" t="str">
        <f ca="1">IF(Table_ErrorList[[#This Row],[Manual Hierarchy]]="",CONCATENATE(TEXT(Table_ErrorList[[#This Row],[Section '#]],"00"),"-",TEXT(COUNTIF($E132:OFFSET(Table_ErrorList[[#Headers],[Section '#]],1,0,1,1),Table_ErrorList[[#This Row],[Section '#]]),"000")),Table_ErrorList[[#This Row],[Manual Hierarchy]])</f>
        <v>07-061</v>
      </c>
      <c r="E132" s="98">
        <v>7</v>
      </c>
      <c r="F132" s="98" t="str">
        <f>IFERROR(VLOOKUP(Table_ErrorList[[#This Row],[Section '#]],Table_SectionNames[],MATCH(Table_SectionNames[[#Headers],[Name]],Table_SectionNames[#Headers],0),FALSE),"Not found")</f>
        <v>Other Expenses</v>
      </c>
      <c r="G132" s="98"/>
      <c r="H132" s="101" t="str">
        <f>IFERROR(VLOOKUP(Table_ErrorList[[#This Row],[Attention To Named Range]],Table_NamedRanges[],MATCH(Table_NamedRanges[[#Headers],[Reference Type]],Table_NamedRanges[#Headers],0),FALSE),"Error")</f>
        <v>Single Cell</v>
      </c>
      <c r="I132" s="96" t="s">
        <v>580</v>
      </c>
      <c r="J132" s="101" t="str">
        <f>IF(Table_ErrorList[[#This Row],[Manual Reference]]="",Table_ErrorList[[#This Row],[''Attention To'' Refence]],Table_ErrorList[[#This Row],[Manual Reference]])&amp;","</f>
        <v>$T$33,</v>
      </c>
      <c r="K132" s="101" t="str">
        <f>SUBSTITUTE(SUBSTITUTE(VLOOKUP(Table_ErrorList[[#This Row],[Attention To Named Range]],Table_NamedRanges[],MATCH(Table_NamedRanges[[#Headers],[Reference Text]],Table_NamedRanges[#Headers],0),FALSE),"=",""),"'Travel Expense Summary'!","")</f>
        <v>$T$33</v>
      </c>
      <c r="L132" s="101"/>
      <c r="M132" s="81" t="s">
        <v>581</v>
      </c>
      <c r="N132" s="81" t="s">
        <v>582</v>
      </c>
      <c r="O132" s="81" t="b">
        <v>1</v>
      </c>
      <c r="P132" s="100" t="s">
        <v>439</v>
      </c>
      <c r="Q132" s="100" t="s">
        <v>435</v>
      </c>
      <c r="R132"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32" s="81" t="b">
        <v>1</v>
      </c>
      <c r="T132" s="81" t="str">
        <f>IF(LEN(Table_ErrorList[[#This Row],[Message Bar Display]])&gt;$U$5,"Too Long, Characters = "&amp;LEN(Table_ErrorList[[#This Row],[Message Bar Display]])," ")</f>
        <v xml:space="preserve"> </v>
      </c>
      <c r="U132" s="81" t="str">
        <f>IF(LEN(Table_ErrorList[[#This Row],[Details Explanation (Line '#1)]])&gt;$U$5,"Too Long, Characters = "&amp;LEN(Table_ErrorList[[#This Row],[Details Explanation (Line '#1)]])," ")</f>
        <v xml:space="preserve"> </v>
      </c>
      <c r="V132" s="81" t="str">
        <f>IF(LEN(Table_ErrorList[[#This Row],[Details Explanation (Line '#2)]])&gt;$U$5,"Too Long, Characters = "&amp;LEN(Table_ErrorList[[#This Row],[Details Explanation (Line '#2)]])," ")</f>
        <v xml:space="preserve"> </v>
      </c>
    </row>
    <row r="133" spans="1:22" ht="33.75" x14ac:dyDescent="0.25">
      <c r="A133" s="101" t="e">
        <f>AND(
VLOOKUP(Others_Expense07,Table_Expenses[],MATCH(Table_Expenses[[#Headers],[ReceiptRequired]],Table_Expenses[#Headers],0),FALSE),
OR(Others_Receipt07=0,Others_Receipt07="",Others_Receipt07=Dropdown_NotSelectedValue),
COUNTA(Others_Date07,Others_Expense07,Others_Desc07, Others_From07, Others_To07, Others_KM07)&gt;0)</f>
        <v>#N/A</v>
      </c>
      <c r="B133" s="101">
        <f ca="1">IFERROR(INDIRECT(Table_ErrorList[[#This Row],[Attention To Named Range]]),"Error")</f>
        <v>0</v>
      </c>
      <c r="C133" s="96">
        <v>1350</v>
      </c>
      <c r="D133" s="96" t="str">
        <f ca="1">IF(Table_ErrorList[[#This Row],[Manual Hierarchy]]="",CONCATENATE(TEXT(Table_ErrorList[[#This Row],[Section '#]],"00"),"-",TEXT(COUNTIF($E133:OFFSET(Table_ErrorList[[#Headers],[Section '#]],1,0,1,1),Table_ErrorList[[#This Row],[Section '#]]),"000")),Table_ErrorList[[#This Row],[Manual Hierarchy]])</f>
        <v>07-062</v>
      </c>
      <c r="E133" s="98">
        <v>7</v>
      </c>
      <c r="F133" s="98" t="str">
        <f>IFERROR(VLOOKUP(Table_ErrorList[[#This Row],[Section '#]],Table_SectionNames[],MATCH(Table_SectionNames[[#Headers],[Name]],Table_SectionNames[#Headers],0),FALSE),"Not found")</f>
        <v>Other Expenses</v>
      </c>
      <c r="G133" s="98"/>
      <c r="H133" s="101" t="str">
        <f>IFERROR(VLOOKUP(Table_ErrorList[[#This Row],[Attention To Named Range]],Table_NamedRanges[],MATCH(Table_NamedRanges[[#Headers],[Reference Type]],Table_NamedRanges[#Headers],0),FALSE),"Error")</f>
        <v>Single Cell</v>
      </c>
      <c r="I133" s="96" t="s">
        <v>583</v>
      </c>
      <c r="J133" s="101" t="str">
        <f>IF(Table_ErrorList[[#This Row],[Manual Reference]]="",Table_ErrorList[[#This Row],[''Attention To'' Refence]],Table_ErrorList[[#This Row],[Manual Reference]])&amp;","</f>
        <v>$X$33,</v>
      </c>
      <c r="K133" s="101" t="str">
        <f>SUBSTITUTE(SUBSTITUTE(VLOOKUP(Table_ErrorList[[#This Row],[Attention To Named Range]],Table_NamedRanges[],MATCH(Table_NamedRanges[[#Headers],[Reference Text]],Table_NamedRanges[#Headers],0),FALSE),"=",""),"'Travel Expense Summary'!","")</f>
        <v>$X$33</v>
      </c>
      <c r="L133" s="101"/>
      <c r="M133" s="81" t="s">
        <v>584</v>
      </c>
      <c r="N133" s="81" t="s">
        <v>585</v>
      </c>
      <c r="O133" s="81" t="b">
        <v>1</v>
      </c>
      <c r="P133" s="100" t="s">
        <v>443</v>
      </c>
      <c r="Q133" s="100" t="s">
        <v>364</v>
      </c>
      <c r="R133"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33" s="81" t="b">
        <v>1</v>
      </c>
      <c r="T133" s="81" t="str">
        <f>IF(LEN(Table_ErrorList[[#This Row],[Message Bar Display]])&gt;$U$5,"Too Long, Characters = "&amp;LEN(Table_ErrorList[[#This Row],[Message Bar Display]])," ")</f>
        <v xml:space="preserve"> </v>
      </c>
      <c r="U133" s="81" t="str">
        <f>IF(LEN(Table_ErrorList[[#This Row],[Details Explanation (Line '#1)]])&gt;$U$5,"Too Long, Characters = "&amp;LEN(Table_ErrorList[[#This Row],[Details Explanation (Line '#1)]])," ")</f>
        <v xml:space="preserve"> </v>
      </c>
      <c r="V133" s="81" t="str">
        <f>IF(LEN(Table_ErrorList[[#This Row],[Details Explanation (Line '#2)]])&gt;$U$5,"Too Long, Characters = "&amp;LEN(Table_ErrorList[[#This Row],[Details Explanation (Line '#2)]])," ")</f>
        <v xml:space="preserve"> </v>
      </c>
    </row>
    <row r="134" spans="1:22" ht="45" x14ac:dyDescent="0.25">
      <c r="A134" s="101" t="e">
        <f>AND(
VLOOKUP(Others_Expense07,Table_Expenses[],MATCH(Table_Expenses[[#Headers],[KMRequired]],Table_Expenses[#Headers],0),FALSE),
OR(Others_KM07=0,Others_KM07="",Others_KM07=Dropdown_NotSelectedValue),
COUNTA(Others_Date07,Others_Expense07,Others_Desc07, Others_From07, Others_To07, Others_Receipt07)&gt;0)</f>
        <v>#N/A</v>
      </c>
      <c r="B134" s="101">
        <f ca="1">IFERROR(INDIRECT(Table_ErrorList[[#This Row],[Attention To Named Range]]),"Error")</f>
        <v>0</v>
      </c>
      <c r="C134" s="96">
        <v>1360</v>
      </c>
      <c r="D134" s="96" t="str">
        <f ca="1">IF(Table_ErrorList[[#This Row],[Manual Hierarchy]]="",CONCATENATE(TEXT(Table_ErrorList[[#This Row],[Section '#]],"00"),"-",TEXT(COUNTIF($E134:OFFSET(Table_ErrorList[[#Headers],[Section '#]],1,0,1,1),Table_ErrorList[[#This Row],[Section '#]]),"000")),Table_ErrorList[[#This Row],[Manual Hierarchy]])</f>
        <v>07-063</v>
      </c>
      <c r="E134" s="98">
        <v>7</v>
      </c>
      <c r="F134" s="98" t="str">
        <f>IFERROR(VLOOKUP(Table_ErrorList[[#This Row],[Section '#]],Table_SectionNames[],MATCH(Table_SectionNames[[#Headers],[Name]],Table_SectionNames[#Headers],0),FALSE),"Not found")</f>
        <v>Other Expenses</v>
      </c>
      <c r="G134" s="98"/>
      <c r="H134" s="101" t="str">
        <f>IFERROR(VLOOKUP(Table_ErrorList[[#This Row],[Attention To Named Range]],Table_NamedRanges[],MATCH(Table_NamedRanges[[#Headers],[Reference Type]],Table_NamedRanges[#Headers],0),FALSE),"Error")</f>
        <v>Single Cell</v>
      </c>
      <c r="I134" s="96" t="s">
        <v>586</v>
      </c>
      <c r="J134" s="101" t="str">
        <f>IF(Table_ErrorList[[#This Row],[Manual Reference]]="",Table_ErrorList[[#This Row],[''Attention To'' Refence]],Table_ErrorList[[#This Row],[Manual Reference]])&amp;","</f>
        <v>$Y$33,</v>
      </c>
      <c r="K134" s="101" t="str">
        <f>SUBSTITUTE(SUBSTITUTE(VLOOKUP(Table_ErrorList[[#This Row],[Attention To Named Range]],Table_NamedRanges[],MATCH(Table_NamedRanges[[#Headers],[Reference Text]],Table_NamedRanges[#Headers],0),FALSE),"=",""),"'Travel Expense Summary'!","")</f>
        <v>$Y$33</v>
      </c>
      <c r="L134" s="101"/>
      <c r="M134" s="81" t="s">
        <v>587</v>
      </c>
      <c r="N134" s="81" t="s">
        <v>588</v>
      </c>
      <c r="O134" s="81" t="b">
        <v>1</v>
      </c>
      <c r="P134" s="100" t="s">
        <v>472</v>
      </c>
      <c r="Q134" s="100" t="s">
        <v>473</v>
      </c>
      <c r="R134"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34" s="81" t="b">
        <v>1</v>
      </c>
      <c r="T134" s="81" t="str">
        <f>IF(LEN(Table_ErrorList[[#This Row],[Message Bar Display]])&gt;$U$5,"Too Long, Characters = "&amp;LEN(Table_ErrorList[[#This Row],[Message Bar Display]])," ")</f>
        <v xml:space="preserve"> </v>
      </c>
      <c r="U134" s="81" t="str">
        <f>IF(LEN(Table_ErrorList[[#This Row],[Details Explanation (Line '#1)]])&gt;$U$5,"Too Long, Characters = "&amp;LEN(Table_ErrorList[[#This Row],[Details Explanation (Line '#1)]])," ")</f>
        <v xml:space="preserve"> </v>
      </c>
      <c r="V134" s="81" t="str">
        <f>IF(LEN(Table_ErrorList[[#This Row],[Details Explanation (Line '#2)]])&gt;$U$5,"Too Long, Characters = "&amp;LEN(Table_ErrorList[[#This Row],[Details Explanation (Line '#2)]])," ")</f>
        <v xml:space="preserve"> </v>
      </c>
    </row>
    <row r="135" spans="1:22" ht="30" x14ac:dyDescent="0.25">
      <c r="A135" s="101" t="b">
        <f>AND(
OR(Others_Date08=0,Others_Date08="",Others_Date08=Dropdown_NotSelectedValue),
COUNTA(Others_Expense08,Others_Desc08, Others_From08, Others_To08, Others_Receipt08, Others_KM08)&gt;0)</f>
        <v>0</v>
      </c>
      <c r="B135" s="101">
        <f ca="1">IFERROR(INDIRECT(Table_ErrorList[[#This Row],[Attention To Named Range]]),"Error")</f>
        <v>0</v>
      </c>
      <c r="C135" s="96">
        <v>1400</v>
      </c>
      <c r="D135" s="96" t="str">
        <f ca="1">IF(Table_ErrorList[[#This Row],[Manual Hierarchy]]="",CONCATENATE(TEXT(Table_ErrorList[[#This Row],[Section '#]],"00"),"-",TEXT(COUNTIF($E135:OFFSET(Table_ErrorList[[#Headers],[Section '#]],1,0,1,1),Table_ErrorList[[#This Row],[Section '#]]),"000")),Table_ErrorList[[#This Row],[Manual Hierarchy]])</f>
        <v>07-064</v>
      </c>
      <c r="E135" s="98">
        <v>7</v>
      </c>
      <c r="F135" s="98" t="str">
        <f>IFERROR(VLOOKUP(Table_ErrorList[[#This Row],[Section '#]],Table_SectionNames[],MATCH(Table_SectionNames[[#Headers],[Name]],Table_SectionNames[#Headers],0),FALSE),"Not found")</f>
        <v>Other Expenses</v>
      </c>
      <c r="G135" s="98"/>
      <c r="H135" s="101" t="str">
        <f>IFERROR(VLOOKUP(Table_ErrorList[[#This Row],[Attention To Named Range]],Table_NamedRanges[],MATCH(Table_NamedRanges[[#Headers],[Reference Type]],Table_NamedRanges[#Headers],0),FALSE),"Error")</f>
        <v>Single Cell</v>
      </c>
      <c r="I135" s="96" t="s">
        <v>589</v>
      </c>
      <c r="J135" s="101" t="str">
        <f>IF(Table_ErrorList[[#This Row],[Manual Reference]]="",Table_ErrorList[[#This Row],[''Attention To'' Refence]],Table_ErrorList[[#This Row],[Manual Reference]])&amp;","</f>
        <v>$I$34,</v>
      </c>
      <c r="K135" s="101" t="str">
        <f>SUBSTITUTE(SUBSTITUTE(VLOOKUP(Table_ErrorList[[#This Row],[Attention To Named Range]],Table_NamedRanges[],MATCH(Table_NamedRanges[[#Headers],[Reference Text]],Table_NamedRanges[#Headers],0),FALSE),"=",""),"'Travel Expense Summary'!","")</f>
        <v>$I$34</v>
      </c>
      <c r="L135" s="101"/>
      <c r="M135" s="81" t="s">
        <v>590</v>
      </c>
      <c r="N135" s="81" t="s">
        <v>591</v>
      </c>
      <c r="O135" s="81" t="b">
        <v>1</v>
      </c>
      <c r="P135" s="100" t="s">
        <v>354</v>
      </c>
      <c r="Q135" s="100" t="s">
        <v>355</v>
      </c>
      <c r="R135"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35" s="81" t="b">
        <v>1</v>
      </c>
      <c r="T135" s="81" t="str">
        <f>IF(LEN(Table_ErrorList[[#This Row],[Message Bar Display]])&gt;$U$5,"Too Long, Characters = "&amp;LEN(Table_ErrorList[[#This Row],[Message Bar Display]])," ")</f>
        <v xml:space="preserve"> </v>
      </c>
      <c r="U135" s="81" t="str">
        <f>IF(LEN(Table_ErrorList[[#This Row],[Details Explanation (Line '#1)]])&gt;$U$5,"Too Long, Characters = "&amp;LEN(Table_ErrorList[[#This Row],[Details Explanation (Line '#1)]])," ")</f>
        <v xml:space="preserve"> </v>
      </c>
      <c r="V135" s="81" t="str">
        <f>IF(LEN(Table_ErrorList[[#This Row],[Details Explanation (Line '#2)]])&gt;$U$5,"Too Long, Characters = "&amp;LEN(Table_ErrorList[[#This Row],[Details Explanation (Line '#2)]])," ")</f>
        <v xml:space="preserve"> </v>
      </c>
    </row>
    <row r="136" spans="1:22" s="30" customFormat="1" ht="30" x14ac:dyDescent="0.25">
      <c r="A136" s="101" t="b">
        <f>IF(
AND(Others_Date08&gt;0,NOT(OR(Others_Date08=0,Others_Date08="",Others_Date08=Dropdown_NotSelectedValue))),
NOT(AND(Field15_TravelStartDate&lt;=Others_Date08,Field16_TravelEndDate&gt;=Others_Date08)),FALSE)</f>
        <v>0</v>
      </c>
      <c r="B136" s="101">
        <f ca="1">IFERROR(INDIRECT(Table_ErrorList[[#This Row],[Attention To Named Range]]),"Error")</f>
        <v>0</v>
      </c>
      <c r="C136" s="96">
        <v>1401</v>
      </c>
      <c r="D136" s="96" t="str">
        <f ca="1">IF(Table_ErrorList[[#This Row],[Manual Hierarchy]]="",CONCATENATE(TEXT(Table_ErrorList[[#This Row],[Section '#]],"00"),"-",TEXT(COUNTIF($E136:OFFSET(Table_ErrorList[[#Headers],[Section '#]],1,0,1,1),Table_ErrorList[[#This Row],[Section '#]]),"000")),Table_ErrorList[[#This Row],[Manual Hierarchy]])</f>
        <v>07-065</v>
      </c>
      <c r="E136" s="98">
        <v>7</v>
      </c>
      <c r="F136" s="98" t="str">
        <f>IFERROR(VLOOKUP(Table_ErrorList[[#This Row],[Section '#]],Table_SectionNames[],MATCH(Table_SectionNames[[#Headers],[Name]],Table_SectionNames[#Headers],0),FALSE),"Not found")</f>
        <v>Other Expenses</v>
      </c>
      <c r="G136" s="98"/>
      <c r="H136" s="101" t="str">
        <f>IFERROR(VLOOKUP(Table_ErrorList[[#This Row],[Attention To Named Range]],Table_NamedRanges[],MATCH(Table_NamedRanges[[#Headers],[Reference Type]],Table_NamedRanges[#Headers],0),FALSE),"Error")</f>
        <v>Single Cell</v>
      </c>
      <c r="I136" s="96" t="s">
        <v>589</v>
      </c>
      <c r="J136" s="101" t="str">
        <f>IF(Table_ErrorList[[#This Row],[Manual Reference]]="",Table_ErrorList[[#This Row],[''Attention To'' Refence]],Table_ErrorList[[#This Row],[Manual Reference]])&amp;","</f>
        <v>$I$34,</v>
      </c>
      <c r="K136" s="101" t="str">
        <f>SUBSTITUTE(SUBSTITUTE(VLOOKUP(Table_ErrorList[[#This Row],[Attention To Named Range]],Table_NamedRanges[],MATCH(Table_NamedRanges[[#Headers],[Reference Text]],Table_NamedRanges[#Headers],0),FALSE),"=",""),"'Travel Expense Summary'!","")</f>
        <v>$I$34</v>
      </c>
      <c r="L136" s="101"/>
      <c r="M136" s="81" t="s">
        <v>592</v>
      </c>
      <c r="N136" s="81" t="s">
        <v>415</v>
      </c>
      <c r="O136" s="81" t="b">
        <v>1</v>
      </c>
      <c r="P136" s="100" t="s">
        <v>416</v>
      </c>
      <c r="Q136" s="100" t="s">
        <v>417</v>
      </c>
      <c r="R136"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36" s="81" t="b">
        <v>1</v>
      </c>
      <c r="T136" s="101" t="str">
        <f>IF(LEN(Table_ErrorList[[#This Row],[Message Bar Display]])&gt;$U$5,"Too Long, Characters = "&amp;LEN(Table_ErrorList[[#This Row],[Message Bar Display]])," ")</f>
        <v xml:space="preserve"> </v>
      </c>
      <c r="U136" s="101" t="str">
        <f>IF(LEN(Table_ErrorList[[#This Row],[Details Explanation (Line '#1)]])&gt;$U$5,"Too Long, Characters = "&amp;LEN(Table_ErrorList[[#This Row],[Details Explanation (Line '#1)]])," ")</f>
        <v xml:space="preserve"> </v>
      </c>
      <c r="V136" s="101" t="str">
        <f>IF(LEN(Table_ErrorList[[#This Row],[Details Explanation (Line '#2)]])&gt;$U$5,"Too Long, Characters = "&amp;LEN(Table_ErrorList[[#This Row],[Details Explanation (Line '#2)]])," ")</f>
        <v xml:space="preserve"> </v>
      </c>
    </row>
    <row r="137" spans="1:22" ht="33.75" x14ac:dyDescent="0.25">
      <c r="A137" s="101" t="b">
        <f>AND(
OR(Others_Expense08=0,Others_Expense08="",Others_Expense08=Dropdown_NotSelectedValue),
COUNTA(Others_Date08,Others_Desc08, Others_From08, Others_To08, Others_Receipt08, Others_KM08)&gt;0)</f>
        <v>0</v>
      </c>
      <c r="B137" s="101">
        <f ca="1">IFERROR(INDIRECT(Table_ErrorList[[#This Row],[Attention To Named Range]]),"Error")</f>
        <v>0</v>
      </c>
      <c r="C137" s="96">
        <v>1410</v>
      </c>
      <c r="D137" s="96" t="str">
        <f ca="1">IF(Table_ErrorList[[#This Row],[Manual Hierarchy]]="",CONCATENATE(TEXT(Table_ErrorList[[#This Row],[Section '#]],"00"),"-",TEXT(COUNTIF($E137:OFFSET(Table_ErrorList[[#Headers],[Section '#]],1,0,1,1),Table_ErrorList[[#This Row],[Section '#]]),"000")),Table_ErrorList[[#This Row],[Manual Hierarchy]])</f>
        <v>07-066</v>
      </c>
      <c r="E137" s="98">
        <v>7</v>
      </c>
      <c r="F137" s="98" t="str">
        <f>IFERROR(VLOOKUP(Table_ErrorList[[#This Row],[Section '#]],Table_SectionNames[],MATCH(Table_SectionNames[[#Headers],[Name]],Table_SectionNames[#Headers],0),FALSE),"Not found")</f>
        <v>Other Expenses</v>
      </c>
      <c r="G137" s="98"/>
      <c r="H137" s="101" t="str">
        <f>IFERROR(VLOOKUP(Table_ErrorList[[#This Row],[Attention To Named Range]],Table_NamedRanges[],MATCH(Table_NamedRanges[[#Headers],[Reference Type]],Table_NamedRanges[#Headers],0),FALSE),"Error")</f>
        <v>Single Cell</v>
      </c>
      <c r="I137" s="96" t="s">
        <v>593</v>
      </c>
      <c r="J137" s="101" t="str">
        <f>IF(Table_ErrorList[[#This Row],[Manual Reference]]="",Table_ErrorList[[#This Row],[''Attention To'' Refence]],Table_ErrorList[[#This Row],[Manual Reference]])&amp;","</f>
        <v>$K$34,</v>
      </c>
      <c r="K137" s="101" t="str">
        <f>SUBSTITUTE(SUBSTITUTE(VLOOKUP(Table_ErrorList[[#This Row],[Attention To Named Range]],Table_NamedRanges[],MATCH(Table_NamedRanges[[#Headers],[Reference Text]],Table_NamedRanges[#Headers],0),FALSE),"=",""),"'Travel Expense Summary'!","")</f>
        <v>$K$34</v>
      </c>
      <c r="L137" s="101"/>
      <c r="M137" s="81" t="s">
        <v>594</v>
      </c>
      <c r="N137" s="81" t="s">
        <v>595</v>
      </c>
      <c r="O137" s="81" t="b">
        <v>1</v>
      </c>
      <c r="P137" s="100" t="s">
        <v>421</v>
      </c>
      <c r="Q137" s="100" t="s">
        <v>422</v>
      </c>
      <c r="R137"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37" s="81" t="b">
        <v>1</v>
      </c>
      <c r="T137" s="81" t="str">
        <f>IF(LEN(Table_ErrorList[[#This Row],[Message Bar Display]])&gt;$U$5,"Too Long, Characters = "&amp;LEN(Table_ErrorList[[#This Row],[Message Bar Display]])," ")</f>
        <v xml:space="preserve"> </v>
      </c>
      <c r="U137" s="81" t="str">
        <f>IF(LEN(Table_ErrorList[[#This Row],[Details Explanation (Line '#1)]])&gt;$U$5,"Too Long, Characters = "&amp;LEN(Table_ErrorList[[#This Row],[Details Explanation (Line '#1)]])," ")</f>
        <v xml:space="preserve"> </v>
      </c>
      <c r="V137" s="81" t="str">
        <f>IF(LEN(Table_ErrorList[[#This Row],[Details Explanation (Line '#2)]])&gt;$U$5,"Too Long, Characters = "&amp;LEN(Table_ErrorList[[#This Row],[Details Explanation (Line '#2)]])," ")</f>
        <v xml:space="preserve"> </v>
      </c>
    </row>
    <row r="138" spans="1:22" s="30" customFormat="1" ht="30" x14ac:dyDescent="0.25">
      <c r="A138" s="101" t="b">
        <f>IF(AND(ISBLANK(Others_Expense08)=FALSE,Others_Expense08&lt;&gt;Dropdown_NotSelectedValue),IFERROR(NOT(MATCH(Others_Expense08,Dropdown_Expenses,0)&gt;0),TRUE),FALSE)</f>
        <v>0</v>
      </c>
      <c r="B138" s="101">
        <f ca="1">IFERROR(INDIRECT(Table_ErrorList[[#This Row],[Attention To Named Range]]),"Error")</f>
        <v>0</v>
      </c>
      <c r="C138" s="96">
        <v>1411</v>
      </c>
      <c r="D138" s="96" t="str">
        <f ca="1">IF(Table_ErrorList[[#This Row],[Manual Hierarchy]]="",CONCATENATE(TEXT(Table_ErrorList[[#This Row],[Section '#]],"00"),"-",TEXT(COUNTIF($E138:OFFSET(Table_ErrorList[[#Headers],[Section '#]],1,0,1,1),Table_ErrorList[[#This Row],[Section '#]]),"000")),Table_ErrorList[[#This Row],[Manual Hierarchy]])</f>
        <v>07-067</v>
      </c>
      <c r="E138" s="98">
        <v>7</v>
      </c>
      <c r="F138" s="98" t="str">
        <f>IFERROR(VLOOKUP(Table_ErrorList[[#This Row],[Section '#]],Table_SectionNames[],MATCH(Table_SectionNames[[#Headers],[Name]],Table_SectionNames[#Headers],0),FALSE),"Not found")</f>
        <v>Other Expenses</v>
      </c>
      <c r="G138" s="98"/>
      <c r="H138" s="101" t="str">
        <f>IFERROR(VLOOKUP(Table_ErrorList[[#This Row],[Attention To Named Range]],Table_NamedRanges[],MATCH(Table_NamedRanges[[#Headers],[Reference Type]],Table_NamedRanges[#Headers],0),FALSE),"Error")</f>
        <v>Single Cell</v>
      </c>
      <c r="I138" s="96" t="s">
        <v>593</v>
      </c>
      <c r="J138" s="101" t="str">
        <f>IF(Table_ErrorList[[#This Row],[Manual Reference]]="",Table_ErrorList[[#This Row],[''Attention To'' Refence]],Table_ErrorList[[#This Row],[Manual Reference]])&amp;","</f>
        <v>$K$34,</v>
      </c>
      <c r="K138" s="101" t="str">
        <f>SUBSTITUTE(SUBSTITUTE(VLOOKUP(Table_ErrorList[[#This Row],[Attention To Named Range]],Table_NamedRanges[],MATCH(Table_NamedRanges[[#Headers],[Reference Text]],Table_NamedRanges[#Headers],0),FALSE),"=",""),"'Travel Expense Summary'!","")</f>
        <v>$K$34</v>
      </c>
      <c r="L138" s="101"/>
      <c r="M138" s="81" t="s">
        <v>596</v>
      </c>
      <c r="N138" s="81" t="s">
        <v>424</v>
      </c>
      <c r="O138" s="81" t="b">
        <v>1</v>
      </c>
      <c r="P138" s="100" t="s">
        <v>425</v>
      </c>
      <c r="Q138" s="100" t="s">
        <v>269</v>
      </c>
      <c r="R138"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38" s="81" t="b">
        <v>1</v>
      </c>
      <c r="T138" s="101" t="str">
        <f>IF(LEN(Table_ErrorList[[#This Row],[Message Bar Display]])&gt;$U$5,"Too Long, Characters = "&amp;LEN(Table_ErrorList[[#This Row],[Message Bar Display]])," ")</f>
        <v xml:space="preserve"> </v>
      </c>
      <c r="U138" s="101" t="str">
        <f>IF(LEN(Table_ErrorList[[#This Row],[Details Explanation (Line '#1)]])&gt;$U$5,"Too Long, Characters = "&amp;LEN(Table_ErrorList[[#This Row],[Details Explanation (Line '#1)]])," ")</f>
        <v xml:space="preserve"> </v>
      </c>
      <c r="V138" s="101" t="str">
        <f>IF(LEN(Table_ErrorList[[#This Row],[Details Explanation (Line '#2)]])&gt;$U$5,"Too Long, Characters = "&amp;LEN(Table_ErrorList[[#This Row],[Details Explanation (Line '#2)]])," ")</f>
        <v xml:space="preserve"> </v>
      </c>
    </row>
    <row r="139" spans="1:22" ht="30" x14ac:dyDescent="0.25">
      <c r="A139" s="101" t="e">
        <f>AND(
VLOOKUP(Others_Expense08,Table_Expenses[],MATCH(Table_Expenses[[#Headers],[DescriptionRequired]],Table_Expenses[#Headers],0),FALSE),
OR(Others_Desc08=0,Others_Desc08="",Others_Desc08=Dropdown_NotSelectedValue),
COUNTA(Others_Date08,Others_Expense08,, Others_From08, Others_To08, Others_Receipt08, Others_KM08)&gt;0)</f>
        <v>#N/A</v>
      </c>
      <c r="B139" s="101">
        <f ca="1">IFERROR(INDIRECT(Table_ErrorList[[#This Row],[Attention To Named Range]]),"Error")</f>
        <v>0</v>
      </c>
      <c r="C139" s="96">
        <v>1420</v>
      </c>
      <c r="D139" s="96" t="str">
        <f ca="1">IF(Table_ErrorList[[#This Row],[Manual Hierarchy]]="",CONCATENATE(TEXT(Table_ErrorList[[#This Row],[Section '#]],"00"),"-",TEXT(COUNTIF($E139:OFFSET(Table_ErrorList[[#Headers],[Section '#]],1,0,1,1),Table_ErrorList[[#This Row],[Section '#]]),"000")),Table_ErrorList[[#This Row],[Manual Hierarchy]])</f>
        <v>07-068</v>
      </c>
      <c r="E139" s="98">
        <v>7</v>
      </c>
      <c r="F139" s="98" t="str">
        <f>IFERROR(VLOOKUP(Table_ErrorList[[#This Row],[Section '#]],Table_SectionNames[],MATCH(Table_SectionNames[[#Headers],[Name]],Table_SectionNames[#Headers],0),FALSE),"Not found")</f>
        <v>Other Expenses</v>
      </c>
      <c r="G139" s="98"/>
      <c r="H139" s="101" t="str">
        <f>IFERROR(VLOOKUP(Table_ErrorList[[#This Row],[Attention To Named Range]],Table_NamedRanges[],MATCH(Table_NamedRanges[[#Headers],[Reference Type]],Table_NamedRanges[#Headers],0),FALSE),"Error")</f>
        <v>Single Cell</v>
      </c>
      <c r="I139" s="96" t="s">
        <v>597</v>
      </c>
      <c r="J139" s="101" t="str">
        <f>IF(Table_ErrorList[[#This Row],[Manual Reference]]="",Table_ErrorList[[#This Row],[''Attention To'' Refence]],Table_ErrorList[[#This Row],[Manual Reference]])&amp;","</f>
        <v>$M$34,</v>
      </c>
      <c r="K139" s="101" t="str">
        <f>SUBSTITUTE(SUBSTITUTE(VLOOKUP(Table_ErrorList[[#This Row],[Attention To Named Range]],Table_NamedRanges[],MATCH(Table_NamedRanges[[#Headers],[Reference Text]],Table_NamedRanges[#Headers],0),FALSE),"=",""),"'Travel Expense Summary'!","")</f>
        <v>$M$34</v>
      </c>
      <c r="L139" s="101"/>
      <c r="M139" s="81" t="s">
        <v>598</v>
      </c>
      <c r="N139" s="81" t="s">
        <v>599</v>
      </c>
      <c r="O139" s="81" t="b">
        <v>1</v>
      </c>
      <c r="P139" s="100" t="s">
        <v>429</v>
      </c>
      <c r="Q139" s="100" t="s">
        <v>430</v>
      </c>
      <c r="R139"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9" s="81" t="b">
        <v>1</v>
      </c>
      <c r="T139" s="81" t="str">
        <f>IF(LEN(Table_ErrorList[[#This Row],[Message Bar Display]])&gt;$U$5,"Too Long, Characters = "&amp;LEN(Table_ErrorList[[#This Row],[Message Bar Display]])," ")</f>
        <v xml:space="preserve"> </v>
      </c>
      <c r="U139" s="81" t="str">
        <f>IF(LEN(Table_ErrorList[[#This Row],[Details Explanation (Line '#1)]])&gt;$U$5,"Too Long, Characters = "&amp;LEN(Table_ErrorList[[#This Row],[Details Explanation (Line '#1)]])," ")</f>
        <v xml:space="preserve"> </v>
      </c>
      <c r="V139" s="81" t="str">
        <f>IF(LEN(Table_ErrorList[[#This Row],[Details Explanation (Line '#2)]])&gt;$U$5,"Too Long, Characters = "&amp;LEN(Table_ErrorList[[#This Row],[Details Explanation (Line '#2)]])," ")</f>
        <v xml:space="preserve"> </v>
      </c>
    </row>
    <row r="140" spans="1:22" ht="30" x14ac:dyDescent="0.25">
      <c r="A140" s="101" t="e">
        <f>AND(
VLOOKUP(Others_Expense08,Table_Expenses[],MATCH(Table_Expenses[[#Headers],[FromRequired]],Table_Expenses[#Headers],0),FALSE),
OR(Others_From08=0,Others_From08="",Others_From08=Dropdown_NotSelectedValue),
COUNTA(Others_Date08,Others_Expense08,Others_Desc08, Others_To08, Others_Receipt08, Others_KM08)&gt;0)</f>
        <v>#N/A</v>
      </c>
      <c r="B140" s="101">
        <f ca="1">IFERROR(INDIRECT(Table_ErrorList[[#This Row],[Attention To Named Range]]),"Error")</f>
        <v>0</v>
      </c>
      <c r="C140" s="96">
        <v>1430</v>
      </c>
      <c r="D140" s="96" t="str">
        <f ca="1">IF(Table_ErrorList[[#This Row],[Manual Hierarchy]]="",CONCATENATE(TEXT(Table_ErrorList[[#This Row],[Section '#]],"00"),"-",TEXT(COUNTIF($E140:OFFSET(Table_ErrorList[[#Headers],[Section '#]],1,0,1,1),Table_ErrorList[[#This Row],[Section '#]]),"000")),Table_ErrorList[[#This Row],[Manual Hierarchy]])</f>
        <v>07-069</v>
      </c>
      <c r="E140" s="98">
        <v>7</v>
      </c>
      <c r="F140" s="98" t="str">
        <f>IFERROR(VLOOKUP(Table_ErrorList[[#This Row],[Section '#]],Table_SectionNames[],MATCH(Table_SectionNames[[#Headers],[Name]],Table_SectionNames[#Headers],0),FALSE),"Not found")</f>
        <v>Other Expenses</v>
      </c>
      <c r="G140" s="98"/>
      <c r="H140" s="101" t="str">
        <f>IFERROR(VLOOKUP(Table_ErrorList[[#This Row],[Attention To Named Range]],Table_NamedRanges[],MATCH(Table_NamedRanges[[#Headers],[Reference Type]],Table_NamedRanges[#Headers],0),FALSE),"Error")</f>
        <v>Single Cell</v>
      </c>
      <c r="I140" s="96" t="s">
        <v>600</v>
      </c>
      <c r="J140" s="101" t="str">
        <f>IF(Table_ErrorList[[#This Row],[Manual Reference]]="",Table_ErrorList[[#This Row],[''Attention To'' Refence]],Table_ErrorList[[#This Row],[Manual Reference]])&amp;","</f>
        <v>$R$34,</v>
      </c>
      <c r="K140" s="101" t="str">
        <f>SUBSTITUTE(SUBSTITUTE(VLOOKUP(Table_ErrorList[[#This Row],[Attention To Named Range]],Table_NamedRanges[],MATCH(Table_NamedRanges[[#Headers],[Reference Text]],Table_NamedRanges[#Headers],0),FALSE),"=",""),"'Travel Expense Summary'!","")</f>
        <v>$R$34</v>
      </c>
      <c r="L140" s="101"/>
      <c r="M140" s="81" t="s">
        <v>601</v>
      </c>
      <c r="N140" s="81" t="s">
        <v>602</v>
      </c>
      <c r="O140" s="81" t="b">
        <v>1</v>
      </c>
      <c r="P140" s="100" t="s">
        <v>434</v>
      </c>
      <c r="Q140" s="100" t="s">
        <v>435</v>
      </c>
      <c r="R140"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0" s="81" t="b">
        <v>1</v>
      </c>
      <c r="T140" s="81" t="str">
        <f>IF(LEN(Table_ErrorList[[#This Row],[Message Bar Display]])&gt;$U$5,"Too Long, Characters = "&amp;LEN(Table_ErrorList[[#This Row],[Message Bar Display]])," ")</f>
        <v xml:space="preserve"> </v>
      </c>
      <c r="U140" s="81" t="str">
        <f>IF(LEN(Table_ErrorList[[#This Row],[Details Explanation (Line '#1)]])&gt;$U$5,"Too Long, Characters = "&amp;LEN(Table_ErrorList[[#This Row],[Details Explanation (Line '#1)]])," ")</f>
        <v xml:space="preserve"> </v>
      </c>
      <c r="V140" s="81" t="str">
        <f>IF(LEN(Table_ErrorList[[#This Row],[Details Explanation (Line '#2)]])&gt;$U$5,"Too Long, Characters = "&amp;LEN(Table_ErrorList[[#This Row],[Details Explanation (Line '#2)]])," ")</f>
        <v xml:space="preserve"> </v>
      </c>
    </row>
    <row r="141" spans="1:22" ht="30" x14ac:dyDescent="0.25">
      <c r="A141" s="101" t="e">
        <f>AND(
VLOOKUP(Others_Expense08,Table_Expenses[],MATCH(Table_Expenses[[#Headers],[ToRequired]],Table_Expenses[#Headers],0),FALSE),
OR(Others_To08=0,Others_To08="",Others_To08=Dropdown_NotSelectedValue),
COUNTA(Others_Date08,Others_Expense08,Others_Desc08, Others_From08, Others_Receipt08, Others_KM08)&gt;0)</f>
        <v>#N/A</v>
      </c>
      <c r="B141" s="101">
        <f ca="1">IFERROR(INDIRECT(Table_ErrorList[[#This Row],[Attention To Named Range]]),"Error")</f>
        <v>0</v>
      </c>
      <c r="C141" s="96">
        <v>1440</v>
      </c>
      <c r="D141" s="96" t="str">
        <f ca="1">IF(Table_ErrorList[[#This Row],[Manual Hierarchy]]="",CONCATENATE(TEXT(Table_ErrorList[[#This Row],[Section '#]],"00"),"-",TEXT(COUNTIF($E141:OFFSET(Table_ErrorList[[#Headers],[Section '#]],1,0,1,1),Table_ErrorList[[#This Row],[Section '#]]),"000")),Table_ErrorList[[#This Row],[Manual Hierarchy]])</f>
        <v>07-070</v>
      </c>
      <c r="E141" s="98">
        <v>7</v>
      </c>
      <c r="F141" s="98" t="str">
        <f>IFERROR(VLOOKUP(Table_ErrorList[[#This Row],[Section '#]],Table_SectionNames[],MATCH(Table_SectionNames[[#Headers],[Name]],Table_SectionNames[#Headers],0),FALSE),"Not found")</f>
        <v>Other Expenses</v>
      </c>
      <c r="G141" s="98"/>
      <c r="H141" s="101" t="str">
        <f>IFERROR(VLOOKUP(Table_ErrorList[[#This Row],[Attention To Named Range]],Table_NamedRanges[],MATCH(Table_NamedRanges[[#Headers],[Reference Type]],Table_NamedRanges[#Headers],0),FALSE),"Error")</f>
        <v>Single Cell</v>
      </c>
      <c r="I141" s="96" t="s">
        <v>603</v>
      </c>
      <c r="J141" s="101" t="str">
        <f>IF(Table_ErrorList[[#This Row],[Manual Reference]]="",Table_ErrorList[[#This Row],[''Attention To'' Refence]],Table_ErrorList[[#This Row],[Manual Reference]])&amp;","</f>
        <v>$T$34,</v>
      </c>
      <c r="K141" s="101" t="str">
        <f>SUBSTITUTE(SUBSTITUTE(VLOOKUP(Table_ErrorList[[#This Row],[Attention To Named Range]],Table_NamedRanges[],MATCH(Table_NamedRanges[[#Headers],[Reference Text]],Table_NamedRanges[#Headers],0),FALSE),"=",""),"'Travel Expense Summary'!","")</f>
        <v>$T$34</v>
      </c>
      <c r="L141" s="101"/>
      <c r="M141" s="81" t="s">
        <v>604</v>
      </c>
      <c r="N141" s="81" t="s">
        <v>605</v>
      </c>
      <c r="O141" s="81" t="b">
        <v>1</v>
      </c>
      <c r="P141" s="100" t="s">
        <v>439</v>
      </c>
      <c r="Q141" s="100" t="s">
        <v>435</v>
      </c>
      <c r="R141"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41" s="81" t="b">
        <v>1</v>
      </c>
      <c r="T141" s="81" t="str">
        <f>IF(LEN(Table_ErrorList[[#This Row],[Message Bar Display]])&gt;$U$5,"Too Long, Characters = "&amp;LEN(Table_ErrorList[[#This Row],[Message Bar Display]])," ")</f>
        <v xml:space="preserve"> </v>
      </c>
      <c r="U141" s="81" t="str">
        <f>IF(LEN(Table_ErrorList[[#This Row],[Details Explanation (Line '#1)]])&gt;$U$5,"Too Long, Characters = "&amp;LEN(Table_ErrorList[[#This Row],[Details Explanation (Line '#1)]])," ")</f>
        <v xml:space="preserve"> </v>
      </c>
      <c r="V141" s="81" t="str">
        <f>IF(LEN(Table_ErrorList[[#This Row],[Details Explanation (Line '#2)]])&gt;$U$5,"Too Long, Characters = "&amp;LEN(Table_ErrorList[[#This Row],[Details Explanation (Line '#2)]])," ")</f>
        <v xml:space="preserve"> </v>
      </c>
    </row>
    <row r="142" spans="1:22" ht="33.75" x14ac:dyDescent="0.25">
      <c r="A142" s="101" t="e">
        <f>AND(
VLOOKUP(Others_Expense08,Table_Expenses[],MATCH(Table_Expenses[[#Headers],[ReceiptRequired]],Table_Expenses[#Headers],0),FALSE),
OR(Others_Receipt08=0,Others_Receipt08="",Others_Receipt08=Dropdown_NotSelectedValue),
COUNTA(Others_Date08,Others_Expense08,Others_Desc08, Others_From08, Others_To08, Others_KM08)&gt;0)</f>
        <v>#N/A</v>
      </c>
      <c r="B142" s="101">
        <f ca="1">IFERROR(INDIRECT(Table_ErrorList[[#This Row],[Attention To Named Range]]),"Error")</f>
        <v>0</v>
      </c>
      <c r="C142" s="96">
        <v>1450</v>
      </c>
      <c r="D142" s="96" t="str">
        <f ca="1">IF(Table_ErrorList[[#This Row],[Manual Hierarchy]]="",CONCATENATE(TEXT(Table_ErrorList[[#This Row],[Section '#]],"00"),"-",TEXT(COUNTIF($E142:OFFSET(Table_ErrorList[[#Headers],[Section '#]],1,0,1,1),Table_ErrorList[[#This Row],[Section '#]]),"000")),Table_ErrorList[[#This Row],[Manual Hierarchy]])</f>
        <v>07-071</v>
      </c>
      <c r="E142" s="98">
        <v>7</v>
      </c>
      <c r="F142" s="98" t="str">
        <f>IFERROR(VLOOKUP(Table_ErrorList[[#This Row],[Section '#]],Table_SectionNames[],MATCH(Table_SectionNames[[#Headers],[Name]],Table_SectionNames[#Headers],0),FALSE),"Not found")</f>
        <v>Other Expenses</v>
      </c>
      <c r="G142" s="98"/>
      <c r="H142" s="101" t="str">
        <f>IFERROR(VLOOKUP(Table_ErrorList[[#This Row],[Attention To Named Range]],Table_NamedRanges[],MATCH(Table_NamedRanges[[#Headers],[Reference Type]],Table_NamedRanges[#Headers],0),FALSE),"Error")</f>
        <v>Single Cell</v>
      </c>
      <c r="I142" s="96" t="s">
        <v>606</v>
      </c>
      <c r="J142" s="101" t="str">
        <f>IF(Table_ErrorList[[#This Row],[Manual Reference]]="",Table_ErrorList[[#This Row],[''Attention To'' Refence]],Table_ErrorList[[#This Row],[Manual Reference]])&amp;","</f>
        <v>$X$34,</v>
      </c>
      <c r="K142" s="101" t="str">
        <f>SUBSTITUTE(SUBSTITUTE(VLOOKUP(Table_ErrorList[[#This Row],[Attention To Named Range]],Table_NamedRanges[],MATCH(Table_NamedRanges[[#Headers],[Reference Text]],Table_NamedRanges[#Headers],0),FALSE),"=",""),"'Travel Expense Summary'!","")</f>
        <v>$X$34</v>
      </c>
      <c r="L142" s="101"/>
      <c r="M142" s="81" t="s">
        <v>607</v>
      </c>
      <c r="N142" s="81" t="s">
        <v>608</v>
      </c>
      <c r="O142" s="81" t="b">
        <v>1</v>
      </c>
      <c r="P142" s="100" t="s">
        <v>443</v>
      </c>
      <c r="Q142" s="100" t="s">
        <v>364</v>
      </c>
      <c r="R142"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42" s="81" t="b">
        <v>1</v>
      </c>
      <c r="T142" s="81" t="str">
        <f>IF(LEN(Table_ErrorList[[#This Row],[Message Bar Display]])&gt;$U$5,"Too Long, Characters = "&amp;LEN(Table_ErrorList[[#This Row],[Message Bar Display]])," ")</f>
        <v xml:space="preserve"> </v>
      </c>
      <c r="U142" s="81" t="str">
        <f>IF(LEN(Table_ErrorList[[#This Row],[Details Explanation (Line '#1)]])&gt;$U$5,"Too Long, Characters = "&amp;LEN(Table_ErrorList[[#This Row],[Details Explanation (Line '#1)]])," ")</f>
        <v xml:space="preserve"> </v>
      </c>
      <c r="V142" s="81" t="str">
        <f>IF(LEN(Table_ErrorList[[#This Row],[Details Explanation (Line '#2)]])&gt;$U$5,"Too Long, Characters = "&amp;LEN(Table_ErrorList[[#This Row],[Details Explanation (Line '#2)]])," ")</f>
        <v xml:space="preserve"> </v>
      </c>
    </row>
    <row r="143" spans="1:22" ht="45" x14ac:dyDescent="0.25">
      <c r="A143" s="101" t="e">
        <f>AND(
VLOOKUP(Others_Expense08,Table_Expenses[],MATCH(Table_Expenses[[#Headers],[KMRequired]],Table_Expenses[#Headers],0),FALSE),
OR(Others_KM08=0,Others_KM08="",Others_KM08=Dropdown_NotSelectedValue),
COUNTA(Others_Date08,Others_Expense08,Others_Desc08, Others_From08, Others_To08, Others_Receipt08)&gt;0)</f>
        <v>#N/A</v>
      </c>
      <c r="B143" s="101">
        <f ca="1">IFERROR(INDIRECT(Table_ErrorList[[#This Row],[Attention To Named Range]]),"Error")</f>
        <v>0</v>
      </c>
      <c r="C143" s="96">
        <v>1460</v>
      </c>
      <c r="D143" s="96" t="str">
        <f ca="1">IF(Table_ErrorList[[#This Row],[Manual Hierarchy]]="",CONCATENATE(TEXT(Table_ErrorList[[#This Row],[Section '#]],"00"),"-",TEXT(COUNTIF($E143:OFFSET(Table_ErrorList[[#Headers],[Section '#]],1,0,1,1),Table_ErrorList[[#This Row],[Section '#]]),"000")),Table_ErrorList[[#This Row],[Manual Hierarchy]])</f>
        <v>07-072</v>
      </c>
      <c r="E143" s="98">
        <v>7</v>
      </c>
      <c r="F143" s="98" t="str">
        <f>IFERROR(VLOOKUP(Table_ErrorList[[#This Row],[Section '#]],Table_SectionNames[],MATCH(Table_SectionNames[[#Headers],[Name]],Table_SectionNames[#Headers],0),FALSE),"Not found")</f>
        <v>Other Expenses</v>
      </c>
      <c r="G143" s="98"/>
      <c r="H143" s="101" t="str">
        <f>IFERROR(VLOOKUP(Table_ErrorList[[#This Row],[Attention To Named Range]],Table_NamedRanges[],MATCH(Table_NamedRanges[[#Headers],[Reference Type]],Table_NamedRanges[#Headers],0),FALSE),"Error")</f>
        <v>Single Cell</v>
      </c>
      <c r="I143" s="96" t="s">
        <v>609</v>
      </c>
      <c r="J143" s="101" t="str">
        <f>IF(Table_ErrorList[[#This Row],[Manual Reference]]="",Table_ErrorList[[#This Row],[''Attention To'' Refence]],Table_ErrorList[[#This Row],[Manual Reference]])&amp;","</f>
        <v>$Y$34,</v>
      </c>
      <c r="K143" s="101" t="str">
        <f>SUBSTITUTE(SUBSTITUTE(VLOOKUP(Table_ErrorList[[#This Row],[Attention To Named Range]],Table_NamedRanges[],MATCH(Table_NamedRanges[[#Headers],[Reference Text]],Table_NamedRanges[#Headers],0),FALSE),"=",""),"'Travel Expense Summary'!","")</f>
        <v>$Y$34</v>
      </c>
      <c r="L143" s="101"/>
      <c r="M143" s="81" t="s">
        <v>610</v>
      </c>
      <c r="N143" s="81" t="s">
        <v>611</v>
      </c>
      <c r="O143" s="81" t="b">
        <v>1</v>
      </c>
      <c r="P143" s="100" t="s">
        <v>472</v>
      </c>
      <c r="Q143" s="100" t="s">
        <v>473</v>
      </c>
      <c r="R143"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43" s="81" t="b">
        <v>1</v>
      </c>
      <c r="T143" s="81" t="str">
        <f>IF(LEN(Table_ErrorList[[#This Row],[Message Bar Display]])&gt;$U$5,"Too Long, Characters = "&amp;LEN(Table_ErrorList[[#This Row],[Message Bar Display]])," ")</f>
        <v xml:space="preserve"> </v>
      </c>
      <c r="U143" s="81" t="str">
        <f>IF(LEN(Table_ErrorList[[#This Row],[Details Explanation (Line '#1)]])&gt;$U$5,"Too Long, Characters = "&amp;LEN(Table_ErrorList[[#This Row],[Details Explanation (Line '#1)]])," ")</f>
        <v xml:space="preserve"> </v>
      </c>
      <c r="V143" s="81" t="str">
        <f>IF(LEN(Table_ErrorList[[#This Row],[Details Explanation (Line '#2)]])&gt;$U$5,"Too Long, Characters = "&amp;LEN(Table_ErrorList[[#This Row],[Details Explanation (Line '#2)]])," ")</f>
        <v xml:space="preserve"> </v>
      </c>
    </row>
    <row r="144" spans="1:22" ht="30" x14ac:dyDescent="0.25">
      <c r="A144" s="101" t="b">
        <f>AND(
OR(Others_Date09=0,Others_Date09="",Others_Date09=Dropdown_NotSelectedValue),
COUNTA(Others_Expense09,Others_Desc09, Others_From09, Others_To09, Others_Receipt09, Others_KM09)&gt;0)</f>
        <v>0</v>
      </c>
      <c r="B144" s="101">
        <f ca="1">IFERROR(INDIRECT(Table_ErrorList[[#This Row],[Attention To Named Range]]),"Error")</f>
        <v>0</v>
      </c>
      <c r="C144" s="96">
        <v>1500</v>
      </c>
      <c r="D144" s="96" t="str">
        <f ca="1">IF(Table_ErrorList[[#This Row],[Manual Hierarchy]]="",CONCATENATE(TEXT(Table_ErrorList[[#This Row],[Section '#]],"00"),"-",TEXT(COUNTIF($E144:OFFSET(Table_ErrorList[[#Headers],[Section '#]],1,0,1,1),Table_ErrorList[[#This Row],[Section '#]]),"000")),Table_ErrorList[[#This Row],[Manual Hierarchy]])</f>
        <v>07-073</v>
      </c>
      <c r="E144" s="98">
        <v>7</v>
      </c>
      <c r="F144" s="98" t="str">
        <f>IFERROR(VLOOKUP(Table_ErrorList[[#This Row],[Section '#]],Table_SectionNames[],MATCH(Table_SectionNames[[#Headers],[Name]],Table_SectionNames[#Headers],0),FALSE),"Not found")</f>
        <v>Other Expenses</v>
      </c>
      <c r="G144" s="98"/>
      <c r="H144" s="101" t="str">
        <f>IFERROR(VLOOKUP(Table_ErrorList[[#This Row],[Attention To Named Range]],Table_NamedRanges[],MATCH(Table_NamedRanges[[#Headers],[Reference Type]],Table_NamedRanges[#Headers],0),FALSE),"Error")</f>
        <v>Single Cell</v>
      </c>
      <c r="I144" s="96" t="s">
        <v>612</v>
      </c>
      <c r="J144" s="101" t="str">
        <f>IF(Table_ErrorList[[#This Row],[Manual Reference]]="",Table_ErrorList[[#This Row],[''Attention To'' Refence]],Table_ErrorList[[#This Row],[Manual Reference]])&amp;","</f>
        <v>$I$35,</v>
      </c>
      <c r="K144" s="101" t="str">
        <f>SUBSTITUTE(SUBSTITUTE(VLOOKUP(Table_ErrorList[[#This Row],[Attention To Named Range]],Table_NamedRanges[],MATCH(Table_NamedRanges[[#Headers],[Reference Text]],Table_NamedRanges[#Headers],0),FALSE),"=",""),"'Travel Expense Summary'!","")</f>
        <v>$I$35</v>
      </c>
      <c r="L144" s="101"/>
      <c r="M144" s="81" t="s">
        <v>613</v>
      </c>
      <c r="N144" s="81" t="s">
        <v>614</v>
      </c>
      <c r="O144" s="81" t="b">
        <v>1</v>
      </c>
      <c r="P144" s="100" t="s">
        <v>354</v>
      </c>
      <c r="Q144" s="100" t="s">
        <v>355</v>
      </c>
      <c r="R144"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44" s="81" t="b">
        <v>1</v>
      </c>
      <c r="T144" s="81" t="str">
        <f>IF(LEN(Table_ErrorList[[#This Row],[Message Bar Display]])&gt;$U$5,"Too Long, Characters = "&amp;LEN(Table_ErrorList[[#This Row],[Message Bar Display]])," ")</f>
        <v xml:space="preserve"> </v>
      </c>
      <c r="U144" s="81" t="str">
        <f>IF(LEN(Table_ErrorList[[#This Row],[Details Explanation (Line '#1)]])&gt;$U$5,"Too Long, Characters = "&amp;LEN(Table_ErrorList[[#This Row],[Details Explanation (Line '#1)]])," ")</f>
        <v xml:space="preserve"> </v>
      </c>
      <c r="V144" s="81" t="str">
        <f>IF(LEN(Table_ErrorList[[#This Row],[Details Explanation (Line '#2)]])&gt;$U$5,"Too Long, Characters = "&amp;LEN(Table_ErrorList[[#This Row],[Details Explanation (Line '#2)]])," ")</f>
        <v xml:space="preserve"> </v>
      </c>
    </row>
    <row r="145" spans="1:22" s="30" customFormat="1" ht="30" x14ac:dyDescent="0.25">
      <c r="A145" s="101" t="b">
        <f>IF(
AND(Others_Date09&gt;0,NOT(OR(Others_Date09=0,Others_Date09="",Others_Date09=Dropdown_NotSelectedValue))),
NOT(AND(Field15_TravelStartDate&lt;=Others_Date09,Field16_TravelEndDate&gt;=Others_Date09)),FALSE)</f>
        <v>0</v>
      </c>
      <c r="B145" s="101">
        <f ca="1">IFERROR(INDIRECT(Table_ErrorList[[#This Row],[Attention To Named Range]]),"Error")</f>
        <v>0</v>
      </c>
      <c r="C145" s="96">
        <v>1501</v>
      </c>
      <c r="D145" s="96" t="str">
        <f ca="1">IF(Table_ErrorList[[#This Row],[Manual Hierarchy]]="",CONCATENATE(TEXT(Table_ErrorList[[#This Row],[Section '#]],"00"),"-",TEXT(COUNTIF($E145:OFFSET(Table_ErrorList[[#Headers],[Section '#]],1,0,1,1),Table_ErrorList[[#This Row],[Section '#]]),"000")),Table_ErrorList[[#This Row],[Manual Hierarchy]])</f>
        <v>07-074</v>
      </c>
      <c r="E145" s="98">
        <v>7</v>
      </c>
      <c r="F145" s="98" t="str">
        <f>IFERROR(VLOOKUP(Table_ErrorList[[#This Row],[Section '#]],Table_SectionNames[],MATCH(Table_SectionNames[[#Headers],[Name]],Table_SectionNames[#Headers],0),FALSE),"Not found")</f>
        <v>Other Expenses</v>
      </c>
      <c r="G145" s="98"/>
      <c r="H145" s="101" t="str">
        <f>IFERROR(VLOOKUP(Table_ErrorList[[#This Row],[Attention To Named Range]],Table_NamedRanges[],MATCH(Table_NamedRanges[[#Headers],[Reference Type]],Table_NamedRanges[#Headers],0),FALSE),"Error")</f>
        <v>Single Cell</v>
      </c>
      <c r="I145" s="96" t="s">
        <v>612</v>
      </c>
      <c r="J145" s="101" t="str">
        <f>IF(Table_ErrorList[[#This Row],[Manual Reference]]="",Table_ErrorList[[#This Row],[''Attention To'' Refence]],Table_ErrorList[[#This Row],[Manual Reference]])&amp;","</f>
        <v>$I$35,</v>
      </c>
      <c r="K145" s="101" t="str">
        <f>SUBSTITUTE(SUBSTITUTE(VLOOKUP(Table_ErrorList[[#This Row],[Attention To Named Range]],Table_NamedRanges[],MATCH(Table_NamedRanges[[#Headers],[Reference Text]],Table_NamedRanges[#Headers],0),FALSE),"=",""),"'Travel Expense Summary'!","")</f>
        <v>$I$35</v>
      </c>
      <c r="L145" s="101"/>
      <c r="M145" s="81" t="s">
        <v>615</v>
      </c>
      <c r="N145" s="81" t="s">
        <v>415</v>
      </c>
      <c r="O145" s="81" t="b">
        <v>1</v>
      </c>
      <c r="P145" s="100" t="s">
        <v>416</v>
      </c>
      <c r="Q145" s="100" t="s">
        <v>417</v>
      </c>
      <c r="R145"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45" s="81" t="b">
        <v>1</v>
      </c>
      <c r="T145" s="101" t="str">
        <f>IF(LEN(Table_ErrorList[[#This Row],[Message Bar Display]])&gt;$U$5,"Too Long, Characters = "&amp;LEN(Table_ErrorList[[#This Row],[Message Bar Display]])," ")</f>
        <v xml:space="preserve"> </v>
      </c>
      <c r="U145" s="101" t="str">
        <f>IF(LEN(Table_ErrorList[[#This Row],[Details Explanation (Line '#1)]])&gt;$U$5,"Too Long, Characters = "&amp;LEN(Table_ErrorList[[#This Row],[Details Explanation (Line '#1)]])," ")</f>
        <v xml:space="preserve"> </v>
      </c>
      <c r="V145" s="101" t="str">
        <f>IF(LEN(Table_ErrorList[[#This Row],[Details Explanation (Line '#2)]])&gt;$U$5,"Too Long, Characters = "&amp;LEN(Table_ErrorList[[#This Row],[Details Explanation (Line '#2)]])," ")</f>
        <v xml:space="preserve"> </v>
      </c>
    </row>
    <row r="146" spans="1:22" ht="33.75" x14ac:dyDescent="0.25">
      <c r="A146" s="101" t="b">
        <f>AND(
OR(Others_Expense09=0,Others_Expense09="",Others_Expense09=Dropdown_NotSelectedValue),
COUNTA(Others_Date09,Others_Desc09, Others_From09, Others_To09, Others_Receipt09, Others_KM09)&gt;0)</f>
        <v>0</v>
      </c>
      <c r="B146" s="101">
        <f ca="1">IFERROR(INDIRECT(Table_ErrorList[[#This Row],[Attention To Named Range]]),"Error")</f>
        <v>0</v>
      </c>
      <c r="C146" s="96">
        <v>1510</v>
      </c>
      <c r="D146" s="96" t="str">
        <f ca="1">IF(Table_ErrorList[[#This Row],[Manual Hierarchy]]="",CONCATENATE(TEXT(Table_ErrorList[[#This Row],[Section '#]],"00"),"-",TEXT(COUNTIF($E146:OFFSET(Table_ErrorList[[#Headers],[Section '#]],1,0,1,1),Table_ErrorList[[#This Row],[Section '#]]),"000")),Table_ErrorList[[#This Row],[Manual Hierarchy]])</f>
        <v>07-075</v>
      </c>
      <c r="E146" s="98">
        <v>7</v>
      </c>
      <c r="F146" s="98" t="str">
        <f>IFERROR(VLOOKUP(Table_ErrorList[[#This Row],[Section '#]],Table_SectionNames[],MATCH(Table_SectionNames[[#Headers],[Name]],Table_SectionNames[#Headers],0),FALSE),"Not found")</f>
        <v>Other Expenses</v>
      </c>
      <c r="G146" s="98"/>
      <c r="H146" s="101" t="str">
        <f>IFERROR(VLOOKUP(Table_ErrorList[[#This Row],[Attention To Named Range]],Table_NamedRanges[],MATCH(Table_NamedRanges[[#Headers],[Reference Type]],Table_NamedRanges[#Headers],0),FALSE),"Error")</f>
        <v>Single Cell</v>
      </c>
      <c r="I146" s="96" t="s">
        <v>616</v>
      </c>
      <c r="J146" s="101" t="str">
        <f>IF(Table_ErrorList[[#This Row],[Manual Reference]]="",Table_ErrorList[[#This Row],[''Attention To'' Refence]],Table_ErrorList[[#This Row],[Manual Reference]])&amp;","</f>
        <v>$K$35,</v>
      </c>
      <c r="K146" s="101" t="str">
        <f>SUBSTITUTE(SUBSTITUTE(VLOOKUP(Table_ErrorList[[#This Row],[Attention To Named Range]],Table_NamedRanges[],MATCH(Table_NamedRanges[[#Headers],[Reference Text]],Table_NamedRanges[#Headers],0),FALSE),"=",""),"'Travel Expense Summary'!","")</f>
        <v>$K$35</v>
      </c>
      <c r="L146" s="101"/>
      <c r="M146" s="81" t="s">
        <v>617</v>
      </c>
      <c r="N146" s="81" t="s">
        <v>618</v>
      </c>
      <c r="O146" s="81" t="b">
        <v>1</v>
      </c>
      <c r="P146" s="100" t="s">
        <v>421</v>
      </c>
      <c r="Q146" s="100" t="s">
        <v>422</v>
      </c>
      <c r="R146"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46" s="81" t="b">
        <v>1</v>
      </c>
      <c r="T146" s="81" t="str">
        <f>IF(LEN(Table_ErrorList[[#This Row],[Message Bar Display]])&gt;$U$5,"Too Long, Characters = "&amp;LEN(Table_ErrorList[[#This Row],[Message Bar Display]])," ")</f>
        <v xml:space="preserve"> </v>
      </c>
      <c r="U146" s="81" t="str">
        <f>IF(LEN(Table_ErrorList[[#This Row],[Details Explanation (Line '#1)]])&gt;$U$5,"Too Long, Characters = "&amp;LEN(Table_ErrorList[[#This Row],[Details Explanation (Line '#1)]])," ")</f>
        <v xml:space="preserve"> </v>
      </c>
      <c r="V146" s="81" t="str">
        <f>IF(LEN(Table_ErrorList[[#This Row],[Details Explanation (Line '#2)]])&gt;$U$5,"Too Long, Characters = "&amp;LEN(Table_ErrorList[[#This Row],[Details Explanation (Line '#2)]])," ")</f>
        <v xml:space="preserve"> </v>
      </c>
    </row>
    <row r="147" spans="1:22" s="30" customFormat="1" ht="30" x14ac:dyDescent="0.25">
      <c r="A147" s="101" t="b">
        <f>IF(AND(ISBLANK(Others_Expense09)=FALSE,Others_Expense09&lt;&gt;Dropdown_NotSelectedValue),IFERROR(NOT(MATCH(Others_Expense09,Dropdown_Expenses,0)&gt;0),TRUE),FALSE)</f>
        <v>0</v>
      </c>
      <c r="B147" s="101">
        <f ca="1">IFERROR(INDIRECT(Table_ErrorList[[#This Row],[Attention To Named Range]]),"Error")</f>
        <v>0</v>
      </c>
      <c r="C147" s="96">
        <v>1511</v>
      </c>
      <c r="D147" s="96" t="str">
        <f ca="1">IF(Table_ErrorList[[#This Row],[Manual Hierarchy]]="",CONCATENATE(TEXT(Table_ErrorList[[#This Row],[Section '#]],"00"),"-",TEXT(COUNTIF($E147:OFFSET(Table_ErrorList[[#Headers],[Section '#]],1,0,1,1),Table_ErrorList[[#This Row],[Section '#]]),"000")),Table_ErrorList[[#This Row],[Manual Hierarchy]])</f>
        <v>07-076</v>
      </c>
      <c r="E147" s="98">
        <v>7</v>
      </c>
      <c r="F147" s="98" t="str">
        <f>IFERROR(VLOOKUP(Table_ErrorList[[#This Row],[Section '#]],Table_SectionNames[],MATCH(Table_SectionNames[[#Headers],[Name]],Table_SectionNames[#Headers],0),FALSE),"Not found")</f>
        <v>Other Expenses</v>
      </c>
      <c r="G147" s="98"/>
      <c r="H147" s="101" t="str">
        <f>IFERROR(VLOOKUP(Table_ErrorList[[#This Row],[Attention To Named Range]],Table_NamedRanges[],MATCH(Table_NamedRanges[[#Headers],[Reference Type]],Table_NamedRanges[#Headers],0),FALSE),"Error")</f>
        <v>Single Cell</v>
      </c>
      <c r="I147" s="96" t="s">
        <v>616</v>
      </c>
      <c r="J147" s="101" t="str">
        <f>IF(Table_ErrorList[[#This Row],[Manual Reference]]="",Table_ErrorList[[#This Row],[''Attention To'' Refence]],Table_ErrorList[[#This Row],[Manual Reference]])&amp;","</f>
        <v>$K$35,</v>
      </c>
      <c r="K147" s="101" t="str">
        <f>SUBSTITUTE(SUBSTITUTE(VLOOKUP(Table_ErrorList[[#This Row],[Attention To Named Range]],Table_NamedRanges[],MATCH(Table_NamedRanges[[#Headers],[Reference Text]],Table_NamedRanges[#Headers],0),FALSE),"=",""),"'Travel Expense Summary'!","")</f>
        <v>$K$35</v>
      </c>
      <c r="L147" s="101"/>
      <c r="M147" s="81" t="s">
        <v>619</v>
      </c>
      <c r="N147" s="81" t="s">
        <v>424</v>
      </c>
      <c r="O147" s="81" t="b">
        <v>1</v>
      </c>
      <c r="P147" s="100" t="s">
        <v>425</v>
      </c>
      <c r="Q147" s="100" t="s">
        <v>269</v>
      </c>
      <c r="R147"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47" s="81" t="b">
        <v>1</v>
      </c>
      <c r="T147" s="101" t="str">
        <f>IF(LEN(Table_ErrorList[[#This Row],[Message Bar Display]])&gt;$U$5,"Too Long, Characters = "&amp;LEN(Table_ErrorList[[#This Row],[Message Bar Display]])," ")</f>
        <v xml:space="preserve"> </v>
      </c>
      <c r="U147" s="101" t="str">
        <f>IF(LEN(Table_ErrorList[[#This Row],[Details Explanation (Line '#1)]])&gt;$U$5,"Too Long, Characters = "&amp;LEN(Table_ErrorList[[#This Row],[Details Explanation (Line '#1)]])," ")</f>
        <v xml:space="preserve"> </v>
      </c>
      <c r="V147" s="101" t="str">
        <f>IF(LEN(Table_ErrorList[[#This Row],[Details Explanation (Line '#2)]])&gt;$U$5,"Too Long, Characters = "&amp;LEN(Table_ErrorList[[#This Row],[Details Explanation (Line '#2)]])," ")</f>
        <v xml:space="preserve"> </v>
      </c>
    </row>
    <row r="148" spans="1:22" ht="30" x14ac:dyDescent="0.25">
      <c r="A148" s="101" t="e">
        <f>AND(
VLOOKUP(Others_Expense09,Table_Expenses[],MATCH(Table_Expenses[[#Headers],[DescriptionRequired]],Table_Expenses[#Headers],0),FALSE),
OR(Others_Desc09=0,Others_Desc09="",Others_Desc09=Dropdown_NotSelectedValue),
COUNTA(Others_Date09,Others_Expense09,, Others_From09, Others_To09, Others_Receipt09, Others_KM09)&gt;0)</f>
        <v>#N/A</v>
      </c>
      <c r="B148" s="101">
        <f ca="1">IFERROR(INDIRECT(Table_ErrorList[[#This Row],[Attention To Named Range]]),"Error")</f>
        <v>0</v>
      </c>
      <c r="C148" s="96">
        <v>1520</v>
      </c>
      <c r="D148" s="96" t="str">
        <f ca="1">IF(Table_ErrorList[[#This Row],[Manual Hierarchy]]="",CONCATENATE(TEXT(Table_ErrorList[[#This Row],[Section '#]],"00"),"-",TEXT(COUNTIF($E148:OFFSET(Table_ErrorList[[#Headers],[Section '#]],1,0,1,1),Table_ErrorList[[#This Row],[Section '#]]),"000")),Table_ErrorList[[#This Row],[Manual Hierarchy]])</f>
        <v>07-077</v>
      </c>
      <c r="E148" s="98">
        <v>7</v>
      </c>
      <c r="F148" s="98" t="str">
        <f>IFERROR(VLOOKUP(Table_ErrorList[[#This Row],[Section '#]],Table_SectionNames[],MATCH(Table_SectionNames[[#Headers],[Name]],Table_SectionNames[#Headers],0),FALSE),"Not found")</f>
        <v>Other Expenses</v>
      </c>
      <c r="G148" s="98"/>
      <c r="H148" s="101" t="str">
        <f>IFERROR(VLOOKUP(Table_ErrorList[[#This Row],[Attention To Named Range]],Table_NamedRanges[],MATCH(Table_NamedRanges[[#Headers],[Reference Type]],Table_NamedRanges[#Headers],0),FALSE),"Error")</f>
        <v>Single Cell</v>
      </c>
      <c r="I148" s="96" t="s">
        <v>620</v>
      </c>
      <c r="J148" s="101" t="str">
        <f>IF(Table_ErrorList[[#This Row],[Manual Reference]]="",Table_ErrorList[[#This Row],[''Attention To'' Refence]],Table_ErrorList[[#This Row],[Manual Reference]])&amp;","</f>
        <v>$M$35,</v>
      </c>
      <c r="K148" s="101" t="str">
        <f>SUBSTITUTE(SUBSTITUTE(VLOOKUP(Table_ErrorList[[#This Row],[Attention To Named Range]],Table_NamedRanges[],MATCH(Table_NamedRanges[[#Headers],[Reference Text]],Table_NamedRanges[#Headers],0),FALSE),"=",""),"'Travel Expense Summary'!","")</f>
        <v>$M$35</v>
      </c>
      <c r="L148" s="101"/>
      <c r="M148" s="81" t="s">
        <v>621</v>
      </c>
      <c r="N148" s="81" t="s">
        <v>622</v>
      </c>
      <c r="O148" s="81" t="b">
        <v>1</v>
      </c>
      <c r="P148" s="100" t="s">
        <v>429</v>
      </c>
      <c r="Q148" s="100" t="s">
        <v>430</v>
      </c>
      <c r="R148"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48" s="81" t="b">
        <v>1</v>
      </c>
      <c r="T148" s="81" t="str">
        <f>IF(LEN(Table_ErrorList[[#This Row],[Message Bar Display]])&gt;$U$5,"Too Long, Characters = "&amp;LEN(Table_ErrorList[[#This Row],[Message Bar Display]])," ")</f>
        <v xml:space="preserve"> </v>
      </c>
      <c r="U148" s="81" t="str">
        <f>IF(LEN(Table_ErrorList[[#This Row],[Details Explanation (Line '#1)]])&gt;$U$5,"Too Long, Characters = "&amp;LEN(Table_ErrorList[[#This Row],[Details Explanation (Line '#1)]])," ")</f>
        <v xml:space="preserve"> </v>
      </c>
      <c r="V148" s="81" t="str">
        <f>IF(LEN(Table_ErrorList[[#This Row],[Details Explanation (Line '#2)]])&gt;$U$5,"Too Long, Characters = "&amp;LEN(Table_ErrorList[[#This Row],[Details Explanation (Line '#2)]])," ")</f>
        <v xml:space="preserve"> </v>
      </c>
    </row>
    <row r="149" spans="1:22" ht="30" x14ac:dyDescent="0.25">
      <c r="A149" s="101" t="e">
        <f>AND(
VLOOKUP(Others_Expense09,Table_Expenses[],MATCH(Table_Expenses[[#Headers],[FromRequired]],Table_Expenses[#Headers],0),FALSE),
OR(Others_From09=0,Others_From09="",Others_From09=Dropdown_NotSelectedValue),
COUNTA(Others_Date09,Others_Expense09,Others_Desc09, Others_To09, Others_Receipt09, Others_KM09)&gt;0)</f>
        <v>#N/A</v>
      </c>
      <c r="B149" s="101">
        <f ca="1">IFERROR(INDIRECT(Table_ErrorList[[#This Row],[Attention To Named Range]]),"Error")</f>
        <v>0</v>
      </c>
      <c r="C149" s="96">
        <v>1530</v>
      </c>
      <c r="D149" s="96" t="str">
        <f ca="1">IF(Table_ErrorList[[#This Row],[Manual Hierarchy]]="",CONCATENATE(TEXT(Table_ErrorList[[#This Row],[Section '#]],"00"),"-",TEXT(COUNTIF($E149:OFFSET(Table_ErrorList[[#Headers],[Section '#]],1,0,1,1),Table_ErrorList[[#This Row],[Section '#]]),"000")),Table_ErrorList[[#This Row],[Manual Hierarchy]])</f>
        <v>07-078</v>
      </c>
      <c r="E149" s="98">
        <v>7</v>
      </c>
      <c r="F149" s="98" t="str">
        <f>IFERROR(VLOOKUP(Table_ErrorList[[#This Row],[Section '#]],Table_SectionNames[],MATCH(Table_SectionNames[[#Headers],[Name]],Table_SectionNames[#Headers],0),FALSE),"Not found")</f>
        <v>Other Expenses</v>
      </c>
      <c r="G149" s="98"/>
      <c r="H149" s="101" t="str">
        <f>IFERROR(VLOOKUP(Table_ErrorList[[#This Row],[Attention To Named Range]],Table_NamedRanges[],MATCH(Table_NamedRanges[[#Headers],[Reference Type]],Table_NamedRanges[#Headers],0),FALSE),"Error")</f>
        <v>Single Cell</v>
      </c>
      <c r="I149" s="96" t="s">
        <v>623</v>
      </c>
      <c r="J149" s="101" t="str">
        <f>IF(Table_ErrorList[[#This Row],[Manual Reference]]="",Table_ErrorList[[#This Row],[''Attention To'' Refence]],Table_ErrorList[[#This Row],[Manual Reference]])&amp;","</f>
        <v>$R$35,</v>
      </c>
      <c r="K149" s="101" t="str">
        <f>SUBSTITUTE(SUBSTITUTE(VLOOKUP(Table_ErrorList[[#This Row],[Attention To Named Range]],Table_NamedRanges[],MATCH(Table_NamedRanges[[#Headers],[Reference Text]],Table_NamedRanges[#Headers],0),FALSE),"=",""),"'Travel Expense Summary'!","")</f>
        <v>$R$35</v>
      </c>
      <c r="L149" s="101"/>
      <c r="M149" s="81" t="s">
        <v>624</v>
      </c>
      <c r="N149" s="81" t="s">
        <v>625</v>
      </c>
      <c r="O149" s="81" t="b">
        <v>1</v>
      </c>
      <c r="P149" s="100" t="s">
        <v>434</v>
      </c>
      <c r="Q149" s="100" t="s">
        <v>435</v>
      </c>
      <c r="R149"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9" s="81" t="b">
        <v>1</v>
      </c>
      <c r="T149" s="81" t="str">
        <f>IF(LEN(Table_ErrorList[[#This Row],[Message Bar Display]])&gt;$U$5,"Too Long, Characters = "&amp;LEN(Table_ErrorList[[#This Row],[Message Bar Display]])," ")</f>
        <v xml:space="preserve"> </v>
      </c>
      <c r="U149" s="81" t="str">
        <f>IF(LEN(Table_ErrorList[[#This Row],[Details Explanation (Line '#1)]])&gt;$U$5,"Too Long, Characters = "&amp;LEN(Table_ErrorList[[#This Row],[Details Explanation (Line '#1)]])," ")</f>
        <v xml:space="preserve"> </v>
      </c>
      <c r="V149" s="81" t="str">
        <f>IF(LEN(Table_ErrorList[[#This Row],[Details Explanation (Line '#2)]])&gt;$U$5,"Too Long, Characters = "&amp;LEN(Table_ErrorList[[#This Row],[Details Explanation (Line '#2)]])," ")</f>
        <v xml:space="preserve"> </v>
      </c>
    </row>
    <row r="150" spans="1:22" ht="30" x14ac:dyDescent="0.25">
      <c r="A150" s="101" t="e">
        <f>AND(
VLOOKUP(Others_Expense09,Table_Expenses[],MATCH(Table_Expenses[[#Headers],[ToRequired]],Table_Expenses[#Headers],0),FALSE),
OR(Others_To09=0,Others_To09="",Others_To09=Dropdown_NotSelectedValue),
COUNTA(Others_Date09,Others_Expense09,Others_Desc09, Others_From09, Others_Receipt09, Others_KM09)&gt;0)</f>
        <v>#N/A</v>
      </c>
      <c r="B150" s="101">
        <f ca="1">IFERROR(INDIRECT(Table_ErrorList[[#This Row],[Attention To Named Range]]),"Error")</f>
        <v>0</v>
      </c>
      <c r="C150" s="96">
        <v>1540</v>
      </c>
      <c r="D150" s="96" t="str">
        <f ca="1">IF(Table_ErrorList[[#This Row],[Manual Hierarchy]]="",CONCATENATE(TEXT(Table_ErrorList[[#This Row],[Section '#]],"00"),"-",TEXT(COUNTIF($E150:OFFSET(Table_ErrorList[[#Headers],[Section '#]],1,0,1,1),Table_ErrorList[[#This Row],[Section '#]]),"000")),Table_ErrorList[[#This Row],[Manual Hierarchy]])</f>
        <v>07-079</v>
      </c>
      <c r="E150" s="98">
        <v>7</v>
      </c>
      <c r="F150" s="98" t="str">
        <f>IFERROR(VLOOKUP(Table_ErrorList[[#This Row],[Section '#]],Table_SectionNames[],MATCH(Table_SectionNames[[#Headers],[Name]],Table_SectionNames[#Headers],0),FALSE),"Not found")</f>
        <v>Other Expenses</v>
      </c>
      <c r="G150" s="98"/>
      <c r="H150" s="101" t="str">
        <f>IFERROR(VLOOKUP(Table_ErrorList[[#This Row],[Attention To Named Range]],Table_NamedRanges[],MATCH(Table_NamedRanges[[#Headers],[Reference Type]],Table_NamedRanges[#Headers],0),FALSE),"Error")</f>
        <v>Single Cell</v>
      </c>
      <c r="I150" s="96" t="s">
        <v>626</v>
      </c>
      <c r="J150" s="101" t="str">
        <f>IF(Table_ErrorList[[#This Row],[Manual Reference]]="",Table_ErrorList[[#This Row],[''Attention To'' Refence]],Table_ErrorList[[#This Row],[Manual Reference]])&amp;","</f>
        <v>$T$35,</v>
      </c>
      <c r="K150" s="101" t="str">
        <f>SUBSTITUTE(SUBSTITUTE(VLOOKUP(Table_ErrorList[[#This Row],[Attention To Named Range]],Table_NamedRanges[],MATCH(Table_NamedRanges[[#Headers],[Reference Text]],Table_NamedRanges[#Headers],0),FALSE),"=",""),"'Travel Expense Summary'!","")</f>
        <v>$T$35</v>
      </c>
      <c r="L150" s="101"/>
      <c r="M150" s="81" t="s">
        <v>627</v>
      </c>
      <c r="N150" s="81" t="s">
        <v>628</v>
      </c>
      <c r="O150" s="81" t="b">
        <v>1</v>
      </c>
      <c r="P150" s="100" t="s">
        <v>439</v>
      </c>
      <c r="Q150" s="100" t="s">
        <v>435</v>
      </c>
      <c r="R150"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0" s="81" t="b">
        <v>1</v>
      </c>
      <c r="T150" s="81" t="str">
        <f>IF(LEN(Table_ErrorList[[#This Row],[Message Bar Display]])&gt;$U$5,"Too Long, Characters = "&amp;LEN(Table_ErrorList[[#This Row],[Message Bar Display]])," ")</f>
        <v xml:space="preserve"> </v>
      </c>
      <c r="U150" s="81" t="str">
        <f>IF(LEN(Table_ErrorList[[#This Row],[Details Explanation (Line '#1)]])&gt;$U$5,"Too Long, Characters = "&amp;LEN(Table_ErrorList[[#This Row],[Details Explanation (Line '#1)]])," ")</f>
        <v xml:space="preserve"> </v>
      </c>
      <c r="V150" s="81" t="str">
        <f>IF(LEN(Table_ErrorList[[#This Row],[Details Explanation (Line '#2)]])&gt;$U$5,"Too Long, Characters = "&amp;LEN(Table_ErrorList[[#This Row],[Details Explanation (Line '#2)]])," ")</f>
        <v xml:space="preserve"> </v>
      </c>
    </row>
    <row r="151" spans="1:22" ht="33.75" x14ac:dyDescent="0.25">
      <c r="A151" s="101" t="e">
        <f>AND(
VLOOKUP(Others_Expense09,Table_Expenses[],MATCH(Table_Expenses[[#Headers],[ReceiptRequired]],Table_Expenses[#Headers],0),FALSE),
OR(Others_Receipt09=0,Others_Receipt09="",Others_Receipt09=Dropdown_NotSelectedValue),
COUNTA(Others_Date09,Others_Expense09,Others_Desc09, Others_From09, Others_To09, Others_KM09)&gt;0)</f>
        <v>#N/A</v>
      </c>
      <c r="B151" s="101">
        <f ca="1">IFERROR(INDIRECT(Table_ErrorList[[#This Row],[Attention To Named Range]]),"Error")</f>
        <v>0</v>
      </c>
      <c r="C151" s="96">
        <v>1550</v>
      </c>
      <c r="D151" s="96" t="str">
        <f ca="1">IF(Table_ErrorList[[#This Row],[Manual Hierarchy]]="",CONCATENATE(TEXT(Table_ErrorList[[#This Row],[Section '#]],"00"),"-",TEXT(COUNTIF($E151:OFFSET(Table_ErrorList[[#Headers],[Section '#]],1,0,1,1),Table_ErrorList[[#This Row],[Section '#]]),"000")),Table_ErrorList[[#This Row],[Manual Hierarchy]])</f>
        <v>07-080</v>
      </c>
      <c r="E151" s="98">
        <v>7</v>
      </c>
      <c r="F151" s="98" t="str">
        <f>IFERROR(VLOOKUP(Table_ErrorList[[#This Row],[Section '#]],Table_SectionNames[],MATCH(Table_SectionNames[[#Headers],[Name]],Table_SectionNames[#Headers],0),FALSE),"Not found")</f>
        <v>Other Expenses</v>
      </c>
      <c r="G151" s="98"/>
      <c r="H151" s="101" t="str">
        <f>IFERROR(VLOOKUP(Table_ErrorList[[#This Row],[Attention To Named Range]],Table_NamedRanges[],MATCH(Table_NamedRanges[[#Headers],[Reference Type]],Table_NamedRanges[#Headers],0),FALSE),"Error")</f>
        <v>Single Cell</v>
      </c>
      <c r="I151" s="96" t="s">
        <v>629</v>
      </c>
      <c r="J151" s="101" t="str">
        <f>IF(Table_ErrorList[[#This Row],[Manual Reference]]="",Table_ErrorList[[#This Row],[''Attention To'' Refence]],Table_ErrorList[[#This Row],[Manual Reference]])&amp;","</f>
        <v>$X$35,</v>
      </c>
      <c r="K151" s="101" t="str">
        <f>SUBSTITUTE(SUBSTITUTE(VLOOKUP(Table_ErrorList[[#This Row],[Attention To Named Range]],Table_NamedRanges[],MATCH(Table_NamedRanges[[#Headers],[Reference Text]],Table_NamedRanges[#Headers],0),FALSE),"=",""),"'Travel Expense Summary'!","")</f>
        <v>$X$35</v>
      </c>
      <c r="L151" s="101"/>
      <c r="M151" s="81" t="s">
        <v>630</v>
      </c>
      <c r="N151" s="81" t="s">
        <v>631</v>
      </c>
      <c r="O151" s="81" t="b">
        <v>1</v>
      </c>
      <c r="P151" s="100" t="s">
        <v>443</v>
      </c>
      <c r="Q151" s="100" t="s">
        <v>364</v>
      </c>
      <c r="R151"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51" s="81" t="b">
        <v>1</v>
      </c>
      <c r="T151" s="81" t="str">
        <f>IF(LEN(Table_ErrorList[[#This Row],[Message Bar Display]])&gt;$U$5,"Too Long, Characters = "&amp;LEN(Table_ErrorList[[#This Row],[Message Bar Display]])," ")</f>
        <v xml:space="preserve"> </v>
      </c>
      <c r="U151" s="81" t="str">
        <f>IF(LEN(Table_ErrorList[[#This Row],[Details Explanation (Line '#1)]])&gt;$U$5,"Too Long, Characters = "&amp;LEN(Table_ErrorList[[#This Row],[Details Explanation (Line '#1)]])," ")</f>
        <v xml:space="preserve"> </v>
      </c>
      <c r="V151" s="81" t="str">
        <f>IF(LEN(Table_ErrorList[[#This Row],[Details Explanation (Line '#2)]])&gt;$U$5,"Too Long, Characters = "&amp;LEN(Table_ErrorList[[#This Row],[Details Explanation (Line '#2)]])," ")</f>
        <v xml:space="preserve"> </v>
      </c>
    </row>
    <row r="152" spans="1:22" ht="45" x14ac:dyDescent="0.25">
      <c r="A152" s="101" t="e">
        <f>AND(
VLOOKUP(Others_Expense09,Table_Expenses[],MATCH(Table_Expenses[[#Headers],[KMRequired]],Table_Expenses[#Headers],0),FALSE),
OR(Others_KM09=0,Others_KM09="",Others_KM09=Dropdown_NotSelectedValue),
COUNTA(Others_Date09,Others_Expense09,Others_Desc09, Others_From09, Others_To09, Others_Receipt09)&gt;0)</f>
        <v>#N/A</v>
      </c>
      <c r="B152" s="101">
        <f ca="1">IFERROR(INDIRECT(Table_ErrorList[[#This Row],[Attention To Named Range]]),"Error")</f>
        <v>0</v>
      </c>
      <c r="C152" s="96">
        <v>1560</v>
      </c>
      <c r="D152" s="96" t="str">
        <f ca="1">IF(Table_ErrorList[[#This Row],[Manual Hierarchy]]="",CONCATENATE(TEXT(Table_ErrorList[[#This Row],[Section '#]],"00"),"-",TEXT(COUNTIF($E152:OFFSET(Table_ErrorList[[#Headers],[Section '#]],1,0,1,1),Table_ErrorList[[#This Row],[Section '#]]),"000")),Table_ErrorList[[#This Row],[Manual Hierarchy]])</f>
        <v>07-081</v>
      </c>
      <c r="E152" s="98">
        <v>7</v>
      </c>
      <c r="F152" s="98" t="str">
        <f>IFERROR(VLOOKUP(Table_ErrorList[[#This Row],[Section '#]],Table_SectionNames[],MATCH(Table_SectionNames[[#Headers],[Name]],Table_SectionNames[#Headers],0),FALSE),"Not found")</f>
        <v>Other Expenses</v>
      </c>
      <c r="G152" s="98"/>
      <c r="H152" s="101" t="str">
        <f>IFERROR(VLOOKUP(Table_ErrorList[[#This Row],[Attention To Named Range]],Table_NamedRanges[],MATCH(Table_NamedRanges[[#Headers],[Reference Type]],Table_NamedRanges[#Headers],0),FALSE),"Error")</f>
        <v>Single Cell</v>
      </c>
      <c r="I152" s="96" t="s">
        <v>632</v>
      </c>
      <c r="J152" s="101" t="str">
        <f>IF(Table_ErrorList[[#This Row],[Manual Reference]]="",Table_ErrorList[[#This Row],[''Attention To'' Refence]],Table_ErrorList[[#This Row],[Manual Reference]])&amp;","</f>
        <v>$Y$35,</v>
      </c>
      <c r="K152" s="101" t="str">
        <f>SUBSTITUTE(SUBSTITUTE(VLOOKUP(Table_ErrorList[[#This Row],[Attention To Named Range]],Table_NamedRanges[],MATCH(Table_NamedRanges[[#Headers],[Reference Text]],Table_NamedRanges[#Headers],0),FALSE),"=",""),"'Travel Expense Summary'!","")</f>
        <v>$Y$35</v>
      </c>
      <c r="L152" s="101"/>
      <c r="M152" s="81" t="s">
        <v>633</v>
      </c>
      <c r="N152" s="81" t="s">
        <v>634</v>
      </c>
      <c r="O152" s="81" t="b">
        <v>1</v>
      </c>
      <c r="P152" s="100" t="s">
        <v>472</v>
      </c>
      <c r="Q152" s="100" t="s">
        <v>473</v>
      </c>
      <c r="R152"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52" s="81" t="b">
        <v>1</v>
      </c>
      <c r="T152" s="81" t="str">
        <f>IF(LEN(Table_ErrorList[[#This Row],[Message Bar Display]])&gt;$U$5,"Too Long, Characters = "&amp;LEN(Table_ErrorList[[#This Row],[Message Bar Display]])," ")</f>
        <v xml:space="preserve"> </v>
      </c>
      <c r="U152" s="81" t="str">
        <f>IF(LEN(Table_ErrorList[[#This Row],[Details Explanation (Line '#1)]])&gt;$U$5,"Too Long, Characters = "&amp;LEN(Table_ErrorList[[#This Row],[Details Explanation (Line '#1)]])," ")</f>
        <v xml:space="preserve"> </v>
      </c>
      <c r="V152" s="81" t="str">
        <f>IF(LEN(Table_ErrorList[[#This Row],[Details Explanation (Line '#2)]])&gt;$U$5,"Too Long, Characters = "&amp;LEN(Table_ErrorList[[#This Row],[Details Explanation (Line '#2)]])," ")</f>
        <v xml:space="preserve"> </v>
      </c>
    </row>
    <row r="153" spans="1:22" ht="30" x14ac:dyDescent="0.25">
      <c r="A153" s="101" t="b">
        <f>AND(
OR(Others_Date10=0,Others_Date10="",Others_Date10=Dropdown_NotSelectedValue),
COUNTA(Others_Expense10,Others_Desc10, Others_From10, Others_To10, Others_Receipt10, Others_KM10)&gt;0)</f>
        <v>0</v>
      </c>
      <c r="B153" s="101">
        <f ca="1">IFERROR(INDIRECT(Table_ErrorList[[#This Row],[Attention To Named Range]]),"Error")</f>
        <v>0</v>
      </c>
      <c r="C153" s="96">
        <v>1600</v>
      </c>
      <c r="D153" s="96" t="str">
        <f ca="1">IF(Table_ErrorList[[#This Row],[Manual Hierarchy]]="",CONCATENATE(TEXT(Table_ErrorList[[#This Row],[Section '#]],"00"),"-",TEXT(COUNTIF($E153:OFFSET(Table_ErrorList[[#Headers],[Section '#]],1,0,1,1),Table_ErrorList[[#This Row],[Section '#]]),"000")),Table_ErrorList[[#This Row],[Manual Hierarchy]])</f>
        <v>07-082</v>
      </c>
      <c r="E153" s="98">
        <v>7</v>
      </c>
      <c r="F153" s="98" t="str">
        <f>IFERROR(VLOOKUP(Table_ErrorList[[#This Row],[Section '#]],Table_SectionNames[],MATCH(Table_SectionNames[[#Headers],[Name]],Table_SectionNames[#Headers],0),FALSE),"Not found")</f>
        <v>Other Expenses</v>
      </c>
      <c r="G153" s="98"/>
      <c r="H153" s="101" t="str">
        <f>IFERROR(VLOOKUP(Table_ErrorList[[#This Row],[Attention To Named Range]],Table_NamedRanges[],MATCH(Table_NamedRanges[[#Headers],[Reference Type]],Table_NamedRanges[#Headers],0),FALSE),"Error")</f>
        <v>Single Cell</v>
      </c>
      <c r="I153" s="96" t="s">
        <v>635</v>
      </c>
      <c r="J153" s="101" t="str">
        <f>IF(Table_ErrorList[[#This Row],[Manual Reference]]="",Table_ErrorList[[#This Row],[''Attention To'' Refence]],Table_ErrorList[[#This Row],[Manual Reference]])&amp;","</f>
        <v>$I$36,</v>
      </c>
      <c r="K153" s="101" t="str">
        <f>SUBSTITUTE(SUBSTITUTE(VLOOKUP(Table_ErrorList[[#This Row],[Attention To Named Range]],Table_NamedRanges[],MATCH(Table_NamedRanges[[#Headers],[Reference Text]],Table_NamedRanges[#Headers],0),FALSE),"=",""),"'Travel Expense Summary'!","")</f>
        <v>$I$36</v>
      </c>
      <c r="L153" s="101"/>
      <c r="M153" s="81" t="s">
        <v>636</v>
      </c>
      <c r="N153" s="81" t="s">
        <v>637</v>
      </c>
      <c r="O153" s="81" t="b">
        <v>1</v>
      </c>
      <c r="P153" s="100" t="s">
        <v>354</v>
      </c>
      <c r="Q153" s="100" t="s">
        <v>355</v>
      </c>
      <c r="R153"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53" s="81" t="b">
        <v>1</v>
      </c>
      <c r="T153" s="81" t="str">
        <f>IF(LEN(Table_ErrorList[[#This Row],[Message Bar Display]])&gt;$U$5,"Too Long, Characters = "&amp;LEN(Table_ErrorList[[#This Row],[Message Bar Display]])," ")</f>
        <v xml:space="preserve"> </v>
      </c>
      <c r="U153" s="81" t="str">
        <f>IF(LEN(Table_ErrorList[[#This Row],[Details Explanation (Line '#1)]])&gt;$U$5,"Too Long, Characters = "&amp;LEN(Table_ErrorList[[#This Row],[Details Explanation (Line '#1)]])," ")</f>
        <v xml:space="preserve"> </v>
      </c>
      <c r="V153" s="81" t="str">
        <f>IF(LEN(Table_ErrorList[[#This Row],[Details Explanation (Line '#2)]])&gt;$U$5,"Too Long, Characters = "&amp;LEN(Table_ErrorList[[#This Row],[Details Explanation (Line '#2)]])," ")</f>
        <v xml:space="preserve"> </v>
      </c>
    </row>
    <row r="154" spans="1:22" s="30" customFormat="1" ht="30" x14ac:dyDescent="0.25">
      <c r="A154" s="101" t="b">
        <f>IF(
AND(Others_Date10&gt;0,NOT(OR(Others_Date10=0,Others_Date10="",Others_Date10=Dropdown_NotSelectedValue))),
NOT(AND(Field15_TravelStartDate&lt;=Others_Date10,Field16_TravelEndDate&gt;=Others_Date10)),FALSE)</f>
        <v>0</v>
      </c>
      <c r="B154" s="101">
        <f ca="1">IFERROR(INDIRECT(Table_ErrorList[[#This Row],[Attention To Named Range]]),"Error")</f>
        <v>0</v>
      </c>
      <c r="C154" s="96">
        <v>1601</v>
      </c>
      <c r="D154" s="96" t="str">
        <f ca="1">IF(Table_ErrorList[[#This Row],[Manual Hierarchy]]="",CONCATENATE(TEXT(Table_ErrorList[[#This Row],[Section '#]],"00"),"-",TEXT(COUNTIF($E154:OFFSET(Table_ErrorList[[#Headers],[Section '#]],1,0,1,1),Table_ErrorList[[#This Row],[Section '#]]),"000")),Table_ErrorList[[#This Row],[Manual Hierarchy]])</f>
        <v>07-083</v>
      </c>
      <c r="E154" s="98">
        <v>7</v>
      </c>
      <c r="F154" s="98" t="str">
        <f>IFERROR(VLOOKUP(Table_ErrorList[[#This Row],[Section '#]],Table_SectionNames[],MATCH(Table_SectionNames[[#Headers],[Name]],Table_SectionNames[#Headers],0),FALSE),"Not found")</f>
        <v>Other Expenses</v>
      </c>
      <c r="G154" s="98"/>
      <c r="H154" s="101" t="str">
        <f>IFERROR(VLOOKUP(Table_ErrorList[[#This Row],[Attention To Named Range]],Table_NamedRanges[],MATCH(Table_NamedRanges[[#Headers],[Reference Type]],Table_NamedRanges[#Headers],0),FALSE),"Error")</f>
        <v>Single Cell</v>
      </c>
      <c r="I154" s="96" t="s">
        <v>635</v>
      </c>
      <c r="J154" s="101" t="str">
        <f>IF(Table_ErrorList[[#This Row],[Manual Reference]]="",Table_ErrorList[[#This Row],[''Attention To'' Refence]],Table_ErrorList[[#This Row],[Manual Reference]])&amp;","</f>
        <v>$I$36,</v>
      </c>
      <c r="K154" s="101" t="str">
        <f>SUBSTITUTE(SUBSTITUTE(VLOOKUP(Table_ErrorList[[#This Row],[Attention To Named Range]],Table_NamedRanges[],MATCH(Table_NamedRanges[[#Headers],[Reference Text]],Table_NamedRanges[#Headers],0),FALSE),"=",""),"'Travel Expense Summary'!","")</f>
        <v>$I$36</v>
      </c>
      <c r="L154" s="101"/>
      <c r="M154" s="81" t="s">
        <v>638</v>
      </c>
      <c r="N154" s="81" t="s">
        <v>415</v>
      </c>
      <c r="O154" s="81" t="b">
        <v>1</v>
      </c>
      <c r="P154" s="100" t="s">
        <v>416</v>
      </c>
      <c r="Q154" s="100" t="s">
        <v>417</v>
      </c>
      <c r="R154"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54" s="81" t="b">
        <v>1</v>
      </c>
      <c r="T154" s="101" t="str">
        <f>IF(LEN(Table_ErrorList[[#This Row],[Message Bar Display]])&gt;$U$5,"Too Long, Characters = "&amp;LEN(Table_ErrorList[[#This Row],[Message Bar Display]])," ")</f>
        <v xml:space="preserve"> </v>
      </c>
      <c r="U154" s="101" t="str">
        <f>IF(LEN(Table_ErrorList[[#This Row],[Details Explanation (Line '#1)]])&gt;$U$5,"Too Long, Characters = "&amp;LEN(Table_ErrorList[[#This Row],[Details Explanation (Line '#1)]])," ")</f>
        <v xml:space="preserve"> </v>
      </c>
      <c r="V154" s="101" t="str">
        <f>IF(LEN(Table_ErrorList[[#This Row],[Details Explanation (Line '#2)]])&gt;$U$5,"Too Long, Characters = "&amp;LEN(Table_ErrorList[[#This Row],[Details Explanation (Line '#2)]])," ")</f>
        <v xml:space="preserve"> </v>
      </c>
    </row>
    <row r="155" spans="1:22" ht="33.75" x14ac:dyDescent="0.25">
      <c r="A155" s="101" t="b">
        <f>AND(
OR(Others_Expense10=0,Others_Expense10="",Others_Expense10=Dropdown_NotSelectedValue),
COUNTA(Others_Date10,Others_Desc10, Others_From10, Others_To10, Others_Receipt10, Others_KM10)&gt;0)</f>
        <v>0</v>
      </c>
      <c r="B155" s="101">
        <f ca="1">IFERROR(INDIRECT(Table_ErrorList[[#This Row],[Attention To Named Range]]),"Error")</f>
        <v>0</v>
      </c>
      <c r="C155" s="96">
        <v>1610</v>
      </c>
      <c r="D155" s="96" t="str">
        <f ca="1">IF(Table_ErrorList[[#This Row],[Manual Hierarchy]]="",CONCATENATE(TEXT(Table_ErrorList[[#This Row],[Section '#]],"00"),"-",TEXT(COUNTIF($E155:OFFSET(Table_ErrorList[[#Headers],[Section '#]],1,0,1,1),Table_ErrorList[[#This Row],[Section '#]]),"000")),Table_ErrorList[[#This Row],[Manual Hierarchy]])</f>
        <v>07-084</v>
      </c>
      <c r="E155" s="98">
        <v>7</v>
      </c>
      <c r="F155" s="98" t="str">
        <f>IFERROR(VLOOKUP(Table_ErrorList[[#This Row],[Section '#]],Table_SectionNames[],MATCH(Table_SectionNames[[#Headers],[Name]],Table_SectionNames[#Headers],0),FALSE),"Not found")</f>
        <v>Other Expenses</v>
      </c>
      <c r="G155" s="98"/>
      <c r="H155" s="101" t="str">
        <f>IFERROR(VLOOKUP(Table_ErrorList[[#This Row],[Attention To Named Range]],Table_NamedRanges[],MATCH(Table_NamedRanges[[#Headers],[Reference Type]],Table_NamedRanges[#Headers],0),FALSE),"Error")</f>
        <v>Single Cell</v>
      </c>
      <c r="I155" s="96" t="s">
        <v>639</v>
      </c>
      <c r="J155" s="101" t="str">
        <f>IF(Table_ErrorList[[#This Row],[Manual Reference]]="",Table_ErrorList[[#This Row],[''Attention To'' Refence]],Table_ErrorList[[#This Row],[Manual Reference]])&amp;","</f>
        <v>$K$36,</v>
      </c>
      <c r="K155" s="101" t="str">
        <f>SUBSTITUTE(SUBSTITUTE(VLOOKUP(Table_ErrorList[[#This Row],[Attention To Named Range]],Table_NamedRanges[],MATCH(Table_NamedRanges[[#Headers],[Reference Text]],Table_NamedRanges[#Headers],0),FALSE),"=",""),"'Travel Expense Summary'!","")</f>
        <v>$K$36</v>
      </c>
      <c r="L155" s="101"/>
      <c r="M155" s="81" t="s">
        <v>640</v>
      </c>
      <c r="N155" s="81" t="s">
        <v>641</v>
      </c>
      <c r="O155" s="81" t="b">
        <v>1</v>
      </c>
      <c r="P155" s="100" t="s">
        <v>421</v>
      </c>
      <c r="Q155" s="100" t="s">
        <v>422</v>
      </c>
      <c r="R155"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55" s="81" t="b">
        <v>1</v>
      </c>
      <c r="T155" s="81" t="str">
        <f>IF(LEN(Table_ErrorList[[#This Row],[Message Bar Display]])&gt;$U$5,"Too Long, Characters = "&amp;LEN(Table_ErrorList[[#This Row],[Message Bar Display]])," ")</f>
        <v xml:space="preserve"> </v>
      </c>
      <c r="U155" s="81" t="str">
        <f>IF(LEN(Table_ErrorList[[#This Row],[Details Explanation (Line '#1)]])&gt;$U$5,"Too Long, Characters = "&amp;LEN(Table_ErrorList[[#This Row],[Details Explanation (Line '#1)]])," ")</f>
        <v xml:space="preserve"> </v>
      </c>
      <c r="V155" s="81" t="str">
        <f>IF(LEN(Table_ErrorList[[#This Row],[Details Explanation (Line '#2)]])&gt;$U$5,"Too Long, Characters = "&amp;LEN(Table_ErrorList[[#This Row],[Details Explanation (Line '#2)]])," ")</f>
        <v xml:space="preserve"> </v>
      </c>
    </row>
    <row r="156" spans="1:22" s="30" customFormat="1" ht="30" x14ac:dyDescent="0.25">
      <c r="A156" s="101" t="b">
        <f>IF(AND(ISBLANK(Others_Expense10)=FALSE,Others_Expense10&lt;&gt;Dropdown_NotSelectedValue),IFERROR(NOT(MATCH(Others_Expense10,Dropdown_Expenses,0)&gt;0),TRUE),FALSE)</f>
        <v>0</v>
      </c>
      <c r="B156" s="101">
        <f ca="1">IFERROR(INDIRECT(Table_ErrorList[[#This Row],[Attention To Named Range]]),"Error")</f>
        <v>0</v>
      </c>
      <c r="C156" s="96">
        <v>1611</v>
      </c>
      <c r="D156" s="96" t="str">
        <f ca="1">IF(Table_ErrorList[[#This Row],[Manual Hierarchy]]="",CONCATENATE(TEXT(Table_ErrorList[[#This Row],[Section '#]],"00"),"-",TEXT(COUNTIF($E156:OFFSET(Table_ErrorList[[#Headers],[Section '#]],1,0,1,1),Table_ErrorList[[#This Row],[Section '#]]),"000")),Table_ErrorList[[#This Row],[Manual Hierarchy]])</f>
        <v>07-085</v>
      </c>
      <c r="E156" s="98">
        <v>7</v>
      </c>
      <c r="F156" s="98" t="str">
        <f>IFERROR(VLOOKUP(Table_ErrorList[[#This Row],[Section '#]],Table_SectionNames[],MATCH(Table_SectionNames[[#Headers],[Name]],Table_SectionNames[#Headers],0),FALSE),"Not found")</f>
        <v>Other Expenses</v>
      </c>
      <c r="G156" s="98"/>
      <c r="H156" s="101" t="str">
        <f>IFERROR(VLOOKUP(Table_ErrorList[[#This Row],[Attention To Named Range]],Table_NamedRanges[],MATCH(Table_NamedRanges[[#Headers],[Reference Type]],Table_NamedRanges[#Headers],0),FALSE),"Error")</f>
        <v>Single Cell</v>
      </c>
      <c r="I156" s="96" t="s">
        <v>639</v>
      </c>
      <c r="J156" s="101" t="str">
        <f>IF(Table_ErrorList[[#This Row],[Manual Reference]]="",Table_ErrorList[[#This Row],[''Attention To'' Refence]],Table_ErrorList[[#This Row],[Manual Reference]])&amp;","</f>
        <v>$K$36,</v>
      </c>
      <c r="K156" s="101" t="str">
        <f>SUBSTITUTE(SUBSTITUTE(VLOOKUP(Table_ErrorList[[#This Row],[Attention To Named Range]],Table_NamedRanges[],MATCH(Table_NamedRanges[[#Headers],[Reference Text]],Table_NamedRanges[#Headers],0),FALSE),"=",""),"'Travel Expense Summary'!","")</f>
        <v>$K$36</v>
      </c>
      <c r="L156" s="101"/>
      <c r="M156" s="81" t="s">
        <v>642</v>
      </c>
      <c r="N156" s="81" t="s">
        <v>424</v>
      </c>
      <c r="O156" s="81" t="b">
        <v>1</v>
      </c>
      <c r="P156" s="100" t="s">
        <v>425</v>
      </c>
      <c r="Q156" s="100" t="s">
        <v>269</v>
      </c>
      <c r="R156"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56" s="81" t="b">
        <v>1</v>
      </c>
      <c r="T156" s="101" t="str">
        <f>IF(LEN(Table_ErrorList[[#This Row],[Message Bar Display]])&gt;$U$5,"Too Long, Characters = "&amp;LEN(Table_ErrorList[[#This Row],[Message Bar Display]])," ")</f>
        <v xml:space="preserve"> </v>
      </c>
      <c r="U156" s="101" t="str">
        <f>IF(LEN(Table_ErrorList[[#This Row],[Details Explanation (Line '#1)]])&gt;$U$5,"Too Long, Characters = "&amp;LEN(Table_ErrorList[[#This Row],[Details Explanation (Line '#1)]])," ")</f>
        <v xml:space="preserve"> </v>
      </c>
      <c r="V156" s="101" t="str">
        <f>IF(LEN(Table_ErrorList[[#This Row],[Details Explanation (Line '#2)]])&gt;$U$5,"Too Long, Characters = "&amp;LEN(Table_ErrorList[[#This Row],[Details Explanation (Line '#2)]])," ")</f>
        <v xml:space="preserve"> </v>
      </c>
    </row>
    <row r="157" spans="1:22" ht="30" x14ac:dyDescent="0.25">
      <c r="A157" s="101" t="e">
        <f>AND(
VLOOKUP(Others_Expense10,Table_Expenses[],MATCH(Table_Expenses[[#Headers],[DescriptionRequired]],Table_Expenses[#Headers],0),FALSE),
OR(Others_Desc10=0,Others_Desc10="",Others_Desc10=Dropdown_NotSelectedValue),
COUNTA(Others_Date10,Others_Expense10,, Others_From10, Others_To10, Others_Receipt10, Others_KM10)&gt;0)</f>
        <v>#N/A</v>
      </c>
      <c r="B157" s="101">
        <f ca="1">IFERROR(INDIRECT(Table_ErrorList[[#This Row],[Attention To Named Range]]),"Error")</f>
        <v>0</v>
      </c>
      <c r="C157" s="96">
        <v>1620</v>
      </c>
      <c r="D157" s="96" t="str">
        <f ca="1">IF(Table_ErrorList[[#This Row],[Manual Hierarchy]]="",CONCATENATE(TEXT(Table_ErrorList[[#This Row],[Section '#]],"00"),"-",TEXT(COUNTIF($E157:OFFSET(Table_ErrorList[[#Headers],[Section '#]],1,0,1,1),Table_ErrorList[[#This Row],[Section '#]]),"000")),Table_ErrorList[[#This Row],[Manual Hierarchy]])</f>
        <v>07-086</v>
      </c>
      <c r="E157" s="98">
        <v>7</v>
      </c>
      <c r="F157" s="98" t="str">
        <f>IFERROR(VLOOKUP(Table_ErrorList[[#This Row],[Section '#]],Table_SectionNames[],MATCH(Table_SectionNames[[#Headers],[Name]],Table_SectionNames[#Headers],0),FALSE),"Not found")</f>
        <v>Other Expenses</v>
      </c>
      <c r="G157" s="98"/>
      <c r="H157" s="101" t="str">
        <f>IFERROR(VLOOKUP(Table_ErrorList[[#This Row],[Attention To Named Range]],Table_NamedRanges[],MATCH(Table_NamedRanges[[#Headers],[Reference Type]],Table_NamedRanges[#Headers],0),FALSE),"Error")</f>
        <v>Single Cell</v>
      </c>
      <c r="I157" s="96" t="s">
        <v>643</v>
      </c>
      <c r="J157" s="101" t="str">
        <f>IF(Table_ErrorList[[#This Row],[Manual Reference]]="",Table_ErrorList[[#This Row],[''Attention To'' Refence]],Table_ErrorList[[#This Row],[Manual Reference]])&amp;","</f>
        <v>$M$36,</v>
      </c>
      <c r="K157" s="101" t="str">
        <f>SUBSTITUTE(SUBSTITUTE(VLOOKUP(Table_ErrorList[[#This Row],[Attention To Named Range]],Table_NamedRanges[],MATCH(Table_NamedRanges[[#Headers],[Reference Text]],Table_NamedRanges[#Headers],0),FALSE),"=",""),"'Travel Expense Summary'!","")</f>
        <v>$M$36</v>
      </c>
      <c r="L157" s="101"/>
      <c r="M157" s="81" t="s">
        <v>644</v>
      </c>
      <c r="N157" s="81" t="s">
        <v>645</v>
      </c>
      <c r="O157" s="81" t="b">
        <v>1</v>
      </c>
      <c r="P157" s="100" t="s">
        <v>429</v>
      </c>
      <c r="Q157" s="100" t="s">
        <v>430</v>
      </c>
      <c r="R157"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57" s="81" t="b">
        <v>1</v>
      </c>
      <c r="T157" s="81" t="str">
        <f>IF(LEN(Table_ErrorList[[#This Row],[Message Bar Display]])&gt;$U$5,"Too Long, Characters = "&amp;LEN(Table_ErrorList[[#This Row],[Message Bar Display]])," ")</f>
        <v xml:space="preserve"> </v>
      </c>
      <c r="U157" s="81" t="str">
        <f>IF(LEN(Table_ErrorList[[#This Row],[Details Explanation (Line '#1)]])&gt;$U$5,"Too Long, Characters = "&amp;LEN(Table_ErrorList[[#This Row],[Details Explanation (Line '#1)]])," ")</f>
        <v xml:space="preserve"> </v>
      </c>
      <c r="V157" s="81" t="str">
        <f>IF(LEN(Table_ErrorList[[#This Row],[Details Explanation (Line '#2)]])&gt;$U$5,"Too Long, Characters = "&amp;LEN(Table_ErrorList[[#This Row],[Details Explanation (Line '#2)]])," ")</f>
        <v xml:space="preserve"> </v>
      </c>
    </row>
    <row r="158" spans="1:22" ht="30" x14ac:dyDescent="0.25">
      <c r="A158" s="101" t="e">
        <f>AND(
VLOOKUP(Others_Expense10,Table_Expenses[],MATCH(Table_Expenses[[#Headers],[FromRequired]],Table_Expenses[#Headers],0),FALSE),
OR(Others_From10=0,Others_From10="",Others_From10=Dropdown_NotSelectedValue),
COUNTA(Others_Date10,Others_Expense10,Others_Desc10, Others_To10, Others_Receipt10, Others_KM10)&gt;0)</f>
        <v>#N/A</v>
      </c>
      <c r="B158" s="101">
        <f ca="1">IFERROR(INDIRECT(Table_ErrorList[[#This Row],[Attention To Named Range]]),"Error")</f>
        <v>0</v>
      </c>
      <c r="C158" s="96">
        <v>1630</v>
      </c>
      <c r="D158" s="96" t="str">
        <f ca="1">IF(Table_ErrorList[[#This Row],[Manual Hierarchy]]="",CONCATENATE(TEXT(Table_ErrorList[[#This Row],[Section '#]],"00"),"-",TEXT(COUNTIF($E158:OFFSET(Table_ErrorList[[#Headers],[Section '#]],1,0,1,1),Table_ErrorList[[#This Row],[Section '#]]),"000")),Table_ErrorList[[#This Row],[Manual Hierarchy]])</f>
        <v>07-087</v>
      </c>
      <c r="E158" s="98">
        <v>7</v>
      </c>
      <c r="F158" s="98" t="str">
        <f>IFERROR(VLOOKUP(Table_ErrorList[[#This Row],[Section '#]],Table_SectionNames[],MATCH(Table_SectionNames[[#Headers],[Name]],Table_SectionNames[#Headers],0),FALSE),"Not found")</f>
        <v>Other Expenses</v>
      </c>
      <c r="G158" s="98"/>
      <c r="H158" s="101" t="str">
        <f>IFERROR(VLOOKUP(Table_ErrorList[[#This Row],[Attention To Named Range]],Table_NamedRanges[],MATCH(Table_NamedRanges[[#Headers],[Reference Type]],Table_NamedRanges[#Headers],0),FALSE),"Error")</f>
        <v>Single Cell</v>
      </c>
      <c r="I158" s="96" t="s">
        <v>646</v>
      </c>
      <c r="J158" s="101" t="str">
        <f>IF(Table_ErrorList[[#This Row],[Manual Reference]]="",Table_ErrorList[[#This Row],[''Attention To'' Refence]],Table_ErrorList[[#This Row],[Manual Reference]])&amp;","</f>
        <v>$R$36,</v>
      </c>
      <c r="K158" s="101" t="str">
        <f>SUBSTITUTE(SUBSTITUTE(VLOOKUP(Table_ErrorList[[#This Row],[Attention To Named Range]],Table_NamedRanges[],MATCH(Table_NamedRanges[[#Headers],[Reference Text]],Table_NamedRanges[#Headers],0),FALSE),"=",""),"'Travel Expense Summary'!","")</f>
        <v>$R$36</v>
      </c>
      <c r="L158" s="101"/>
      <c r="M158" s="81" t="s">
        <v>647</v>
      </c>
      <c r="N158" s="81" t="s">
        <v>648</v>
      </c>
      <c r="O158" s="81" t="b">
        <v>1</v>
      </c>
      <c r="P158" s="100" t="s">
        <v>434</v>
      </c>
      <c r="Q158" s="100" t="s">
        <v>435</v>
      </c>
      <c r="R158"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58" s="81" t="b">
        <v>1</v>
      </c>
      <c r="T158" s="81" t="str">
        <f>IF(LEN(Table_ErrorList[[#This Row],[Message Bar Display]])&gt;$U$5,"Too Long, Characters = "&amp;LEN(Table_ErrorList[[#This Row],[Message Bar Display]])," ")</f>
        <v xml:space="preserve"> </v>
      </c>
      <c r="U158" s="81" t="str">
        <f>IF(LEN(Table_ErrorList[[#This Row],[Details Explanation (Line '#1)]])&gt;$U$5,"Too Long, Characters = "&amp;LEN(Table_ErrorList[[#This Row],[Details Explanation (Line '#1)]])," ")</f>
        <v xml:space="preserve"> </v>
      </c>
      <c r="V158" s="81" t="str">
        <f>IF(LEN(Table_ErrorList[[#This Row],[Details Explanation (Line '#2)]])&gt;$U$5,"Too Long, Characters = "&amp;LEN(Table_ErrorList[[#This Row],[Details Explanation (Line '#2)]])," ")</f>
        <v xml:space="preserve"> </v>
      </c>
    </row>
    <row r="159" spans="1:22" ht="30" x14ac:dyDescent="0.25">
      <c r="A159" s="101" t="e">
        <f>AND(
VLOOKUP(Others_Expense10,Table_Expenses[],MATCH(Table_Expenses[[#Headers],[ToRequired]],Table_Expenses[#Headers],0),FALSE),
OR(Others_To10=0,Others_To10="",Others_To10=Dropdown_NotSelectedValue),
COUNTA(Others_Date10,Others_Expense10,Others_Desc10, Others_From10, Others_Receipt10, Others_KM10)&gt;0)</f>
        <v>#N/A</v>
      </c>
      <c r="B159" s="101">
        <f ca="1">IFERROR(INDIRECT(Table_ErrorList[[#This Row],[Attention To Named Range]]),"Error")</f>
        <v>0</v>
      </c>
      <c r="C159" s="96">
        <v>1640</v>
      </c>
      <c r="D159" s="96" t="str">
        <f ca="1">IF(Table_ErrorList[[#This Row],[Manual Hierarchy]]="",CONCATENATE(TEXT(Table_ErrorList[[#This Row],[Section '#]],"00"),"-",TEXT(COUNTIF($E159:OFFSET(Table_ErrorList[[#Headers],[Section '#]],1,0,1,1),Table_ErrorList[[#This Row],[Section '#]]),"000")),Table_ErrorList[[#This Row],[Manual Hierarchy]])</f>
        <v>07-088</v>
      </c>
      <c r="E159" s="98">
        <v>7</v>
      </c>
      <c r="F159" s="98" t="str">
        <f>IFERROR(VLOOKUP(Table_ErrorList[[#This Row],[Section '#]],Table_SectionNames[],MATCH(Table_SectionNames[[#Headers],[Name]],Table_SectionNames[#Headers],0),FALSE),"Not found")</f>
        <v>Other Expenses</v>
      </c>
      <c r="G159" s="98"/>
      <c r="H159" s="101" t="str">
        <f>IFERROR(VLOOKUP(Table_ErrorList[[#This Row],[Attention To Named Range]],Table_NamedRanges[],MATCH(Table_NamedRanges[[#Headers],[Reference Type]],Table_NamedRanges[#Headers],0),FALSE),"Error")</f>
        <v>Single Cell</v>
      </c>
      <c r="I159" s="96" t="s">
        <v>649</v>
      </c>
      <c r="J159" s="101" t="str">
        <f>IF(Table_ErrorList[[#This Row],[Manual Reference]]="",Table_ErrorList[[#This Row],[''Attention To'' Refence]],Table_ErrorList[[#This Row],[Manual Reference]])&amp;","</f>
        <v>$T$36,</v>
      </c>
      <c r="K159" s="101" t="str">
        <f>SUBSTITUTE(SUBSTITUTE(VLOOKUP(Table_ErrorList[[#This Row],[Attention To Named Range]],Table_NamedRanges[],MATCH(Table_NamedRanges[[#Headers],[Reference Text]],Table_NamedRanges[#Headers],0),FALSE),"=",""),"'Travel Expense Summary'!","")</f>
        <v>$T$36</v>
      </c>
      <c r="L159" s="101"/>
      <c r="M159" s="81" t="s">
        <v>650</v>
      </c>
      <c r="N159" s="81" t="s">
        <v>651</v>
      </c>
      <c r="O159" s="81" t="b">
        <v>1</v>
      </c>
      <c r="P159" s="100" t="s">
        <v>439</v>
      </c>
      <c r="Q159" s="100" t="s">
        <v>435</v>
      </c>
      <c r="R159"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9" s="81" t="b">
        <v>1</v>
      </c>
      <c r="T159" s="81" t="str">
        <f>IF(LEN(Table_ErrorList[[#This Row],[Message Bar Display]])&gt;$U$5,"Too Long, Characters = "&amp;LEN(Table_ErrorList[[#This Row],[Message Bar Display]])," ")</f>
        <v xml:space="preserve"> </v>
      </c>
      <c r="U159" s="81" t="str">
        <f>IF(LEN(Table_ErrorList[[#This Row],[Details Explanation (Line '#1)]])&gt;$U$5,"Too Long, Characters = "&amp;LEN(Table_ErrorList[[#This Row],[Details Explanation (Line '#1)]])," ")</f>
        <v xml:space="preserve"> </v>
      </c>
      <c r="V159" s="81" t="str">
        <f>IF(LEN(Table_ErrorList[[#This Row],[Details Explanation (Line '#2)]])&gt;$U$5,"Too Long, Characters = "&amp;LEN(Table_ErrorList[[#This Row],[Details Explanation (Line '#2)]])," ")</f>
        <v xml:space="preserve"> </v>
      </c>
    </row>
    <row r="160" spans="1:22" ht="33.75" x14ac:dyDescent="0.25">
      <c r="A160" s="101" t="e">
        <f>AND(
VLOOKUP(Others_Expense10,Table_Expenses[],MATCH(Table_Expenses[[#Headers],[ReceiptRequired]],Table_Expenses[#Headers],0),FALSE),
OR(Others_Receipt10=0,Others_Receipt10="",Others_Receipt10=Dropdown_NotSelectedValue),
COUNTA(Others_Date10,Others_Expense10,Others_Desc10, Others_From10, Others_To10, Others_KM10)&gt;0)</f>
        <v>#N/A</v>
      </c>
      <c r="B160" s="101">
        <f ca="1">IFERROR(INDIRECT(Table_ErrorList[[#This Row],[Attention To Named Range]]),"Error")</f>
        <v>0</v>
      </c>
      <c r="C160" s="96">
        <v>1650</v>
      </c>
      <c r="D160" s="96" t="str">
        <f ca="1">IF(Table_ErrorList[[#This Row],[Manual Hierarchy]]="",CONCATENATE(TEXT(Table_ErrorList[[#This Row],[Section '#]],"00"),"-",TEXT(COUNTIF($E160:OFFSET(Table_ErrorList[[#Headers],[Section '#]],1,0,1,1),Table_ErrorList[[#This Row],[Section '#]]),"000")),Table_ErrorList[[#This Row],[Manual Hierarchy]])</f>
        <v>07-089</v>
      </c>
      <c r="E160" s="98">
        <v>7</v>
      </c>
      <c r="F160" s="98" t="str">
        <f>IFERROR(VLOOKUP(Table_ErrorList[[#This Row],[Section '#]],Table_SectionNames[],MATCH(Table_SectionNames[[#Headers],[Name]],Table_SectionNames[#Headers],0),FALSE),"Not found")</f>
        <v>Other Expenses</v>
      </c>
      <c r="G160" s="98"/>
      <c r="H160" s="101" t="str">
        <f>IFERROR(VLOOKUP(Table_ErrorList[[#This Row],[Attention To Named Range]],Table_NamedRanges[],MATCH(Table_NamedRanges[[#Headers],[Reference Type]],Table_NamedRanges[#Headers],0),FALSE),"Error")</f>
        <v>Single Cell</v>
      </c>
      <c r="I160" s="96" t="s">
        <v>652</v>
      </c>
      <c r="J160" s="101" t="str">
        <f>IF(Table_ErrorList[[#This Row],[Manual Reference]]="",Table_ErrorList[[#This Row],[''Attention To'' Refence]],Table_ErrorList[[#This Row],[Manual Reference]])&amp;","</f>
        <v>$X$36,</v>
      </c>
      <c r="K160" s="101" t="str">
        <f>SUBSTITUTE(SUBSTITUTE(VLOOKUP(Table_ErrorList[[#This Row],[Attention To Named Range]],Table_NamedRanges[],MATCH(Table_NamedRanges[[#Headers],[Reference Text]],Table_NamedRanges[#Headers],0),FALSE),"=",""),"'Travel Expense Summary'!","")</f>
        <v>$X$36</v>
      </c>
      <c r="L160" s="101"/>
      <c r="M160" s="81" t="s">
        <v>653</v>
      </c>
      <c r="N160" s="81" t="s">
        <v>654</v>
      </c>
      <c r="O160" s="81" t="b">
        <v>1</v>
      </c>
      <c r="P160" s="100" t="s">
        <v>443</v>
      </c>
      <c r="Q160" s="100" t="s">
        <v>364</v>
      </c>
      <c r="R160"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0" s="81" t="b">
        <v>1</v>
      </c>
      <c r="T160" s="81" t="str">
        <f>IF(LEN(Table_ErrorList[[#This Row],[Message Bar Display]])&gt;$U$5,"Too Long, Characters = "&amp;LEN(Table_ErrorList[[#This Row],[Message Bar Display]])," ")</f>
        <v xml:space="preserve"> </v>
      </c>
      <c r="U160" s="81" t="str">
        <f>IF(LEN(Table_ErrorList[[#This Row],[Details Explanation (Line '#1)]])&gt;$U$5,"Too Long, Characters = "&amp;LEN(Table_ErrorList[[#This Row],[Details Explanation (Line '#1)]])," ")</f>
        <v xml:space="preserve"> </v>
      </c>
      <c r="V160" s="81" t="str">
        <f>IF(LEN(Table_ErrorList[[#This Row],[Details Explanation (Line '#2)]])&gt;$U$5,"Too Long, Characters = "&amp;LEN(Table_ErrorList[[#This Row],[Details Explanation (Line '#2)]])," ")</f>
        <v xml:space="preserve"> </v>
      </c>
    </row>
    <row r="161" spans="1:22" ht="45" x14ac:dyDescent="0.25">
      <c r="A161" s="101" t="e">
        <f>AND(
VLOOKUP(Others_Expense10,Table_Expenses[],MATCH(Table_Expenses[[#Headers],[KMRequired]],Table_Expenses[#Headers],0),FALSE),
OR(Others_KM10=0,Others_KM10="",Others_KM10=Dropdown_NotSelectedValue),
COUNTA(Others_Date10,Others_Expense10,Others_Desc10, Others_From10, Others_To10, Others_Receipt10)&gt;0)</f>
        <v>#N/A</v>
      </c>
      <c r="B161" s="101">
        <f ca="1">IFERROR(INDIRECT(Table_ErrorList[[#This Row],[Attention To Named Range]]),"Error")</f>
        <v>0</v>
      </c>
      <c r="C161" s="96">
        <v>1660</v>
      </c>
      <c r="D161" s="96" t="str">
        <f ca="1">IF(Table_ErrorList[[#This Row],[Manual Hierarchy]]="",CONCATENATE(TEXT(Table_ErrorList[[#This Row],[Section '#]],"00"),"-",TEXT(COUNTIF($E161:OFFSET(Table_ErrorList[[#Headers],[Section '#]],1,0,1,1),Table_ErrorList[[#This Row],[Section '#]]),"000")),Table_ErrorList[[#This Row],[Manual Hierarchy]])</f>
        <v>07-090</v>
      </c>
      <c r="E161" s="98">
        <v>7</v>
      </c>
      <c r="F161" s="98" t="str">
        <f>IFERROR(VLOOKUP(Table_ErrorList[[#This Row],[Section '#]],Table_SectionNames[],MATCH(Table_SectionNames[[#Headers],[Name]],Table_SectionNames[#Headers],0),FALSE),"Not found")</f>
        <v>Other Expenses</v>
      </c>
      <c r="G161" s="98"/>
      <c r="H161" s="101" t="str">
        <f>IFERROR(VLOOKUP(Table_ErrorList[[#This Row],[Attention To Named Range]],Table_NamedRanges[],MATCH(Table_NamedRanges[[#Headers],[Reference Type]],Table_NamedRanges[#Headers],0),FALSE),"Error")</f>
        <v>Single Cell</v>
      </c>
      <c r="I161" s="96" t="s">
        <v>655</v>
      </c>
      <c r="J161" s="101" t="str">
        <f>IF(Table_ErrorList[[#This Row],[Manual Reference]]="",Table_ErrorList[[#This Row],[''Attention To'' Refence]],Table_ErrorList[[#This Row],[Manual Reference]])&amp;","</f>
        <v>$Y$36,</v>
      </c>
      <c r="K161" s="101" t="str">
        <f>SUBSTITUTE(SUBSTITUTE(VLOOKUP(Table_ErrorList[[#This Row],[Attention To Named Range]],Table_NamedRanges[],MATCH(Table_NamedRanges[[#Headers],[Reference Text]],Table_NamedRanges[#Headers],0),FALSE),"=",""),"'Travel Expense Summary'!","")</f>
        <v>$Y$36</v>
      </c>
      <c r="L161" s="101"/>
      <c r="M161" s="81" t="s">
        <v>656</v>
      </c>
      <c r="N161" s="81" t="s">
        <v>657</v>
      </c>
      <c r="O161" s="81" t="b">
        <v>1</v>
      </c>
      <c r="P161" s="100" t="s">
        <v>472</v>
      </c>
      <c r="Q161" s="100" t="s">
        <v>473</v>
      </c>
      <c r="R161"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61" s="81" t="b">
        <v>1</v>
      </c>
      <c r="T161" s="81" t="str">
        <f>IF(LEN(Table_ErrorList[[#This Row],[Message Bar Display]])&gt;$U$5,"Too Long, Characters = "&amp;LEN(Table_ErrorList[[#This Row],[Message Bar Display]])," ")</f>
        <v xml:space="preserve"> </v>
      </c>
      <c r="U161" s="81" t="str">
        <f>IF(LEN(Table_ErrorList[[#This Row],[Details Explanation (Line '#1)]])&gt;$U$5,"Too Long, Characters = "&amp;LEN(Table_ErrorList[[#This Row],[Details Explanation (Line '#1)]])," ")</f>
        <v xml:space="preserve"> </v>
      </c>
      <c r="V161" s="81" t="str">
        <f>IF(LEN(Table_ErrorList[[#This Row],[Details Explanation (Line '#2)]])&gt;$U$5,"Too Long, Characters = "&amp;LEN(Table_ErrorList[[#This Row],[Details Explanation (Line '#2)]])," ")</f>
        <v xml:space="preserve"> </v>
      </c>
    </row>
    <row r="162" spans="1:22" ht="30" x14ac:dyDescent="0.25">
      <c r="A162" s="101" t="b">
        <f>AND(
OR(Others_Date11=0,Others_Date11="",Others_Date11=Dropdown_NotSelectedValue),
COUNTA(Others_Expense11,Others_Desc11, Others_From11, Others_To11, Others_Receipt11, Others_KM11)&gt;0)</f>
        <v>0</v>
      </c>
      <c r="B162" s="101">
        <f ca="1">IFERROR(INDIRECT(Table_ErrorList[[#This Row],[Attention To Named Range]]),"Error")</f>
        <v>0</v>
      </c>
      <c r="C162" s="96">
        <v>1700</v>
      </c>
      <c r="D162" s="96" t="str">
        <f ca="1">IF(Table_ErrorList[[#This Row],[Manual Hierarchy]]="",CONCATENATE(TEXT(Table_ErrorList[[#This Row],[Section '#]],"00"),"-",TEXT(COUNTIF($E162:OFFSET(Table_ErrorList[[#Headers],[Section '#]],1,0,1,1),Table_ErrorList[[#This Row],[Section '#]]),"000")),Table_ErrorList[[#This Row],[Manual Hierarchy]])</f>
        <v>07-091</v>
      </c>
      <c r="E162" s="98">
        <v>7</v>
      </c>
      <c r="F162" s="98" t="str">
        <f>IFERROR(VLOOKUP(Table_ErrorList[[#This Row],[Section '#]],Table_SectionNames[],MATCH(Table_SectionNames[[#Headers],[Name]],Table_SectionNames[#Headers],0),FALSE),"Not found")</f>
        <v>Other Expenses</v>
      </c>
      <c r="G162" s="98"/>
      <c r="H162" s="101" t="str">
        <f>IFERROR(VLOOKUP(Table_ErrorList[[#This Row],[Attention To Named Range]],Table_NamedRanges[],MATCH(Table_NamedRanges[[#Headers],[Reference Type]],Table_NamedRanges[#Headers],0),FALSE),"Error")</f>
        <v>Single Cell</v>
      </c>
      <c r="I162" s="96" t="s">
        <v>658</v>
      </c>
      <c r="J162" s="101" t="str">
        <f>IF(Table_ErrorList[[#This Row],[Manual Reference]]="",Table_ErrorList[[#This Row],[''Attention To'' Refence]],Table_ErrorList[[#This Row],[Manual Reference]])&amp;","</f>
        <v>$I$37,</v>
      </c>
      <c r="K162" s="101" t="str">
        <f>SUBSTITUTE(SUBSTITUTE(VLOOKUP(Table_ErrorList[[#This Row],[Attention To Named Range]],Table_NamedRanges[],MATCH(Table_NamedRanges[[#Headers],[Reference Text]],Table_NamedRanges[#Headers],0),FALSE),"=",""),"'Travel Expense Summary'!","")</f>
        <v>$I$37</v>
      </c>
      <c r="L162" s="101"/>
      <c r="M162" s="81" t="s">
        <v>659</v>
      </c>
      <c r="N162" s="81" t="s">
        <v>660</v>
      </c>
      <c r="O162" s="81" t="b">
        <v>1</v>
      </c>
      <c r="P162" s="100" t="s">
        <v>354</v>
      </c>
      <c r="Q162" s="100" t="s">
        <v>355</v>
      </c>
      <c r="R16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62" s="81" t="b">
        <v>1</v>
      </c>
      <c r="T162" s="81" t="str">
        <f>IF(LEN(Table_ErrorList[[#This Row],[Message Bar Display]])&gt;$U$5,"Too Long, Characters = "&amp;LEN(Table_ErrorList[[#This Row],[Message Bar Display]])," ")</f>
        <v xml:space="preserve"> </v>
      </c>
      <c r="U162" s="81" t="str">
        <f>IF(LEN(Table_ErrorList[[#This Row],[Details Explanation (Line '#1)]])&gt;$U$5,"Too Long, Characters = "&amp;LEN(Table_ErrorList[[#This Row],[Details Explanation (Line '#1)]])," ")</f>
        <v xml:space="preserve"> </v>
      </c>
      <c r="V162" s="81" t="str">
        <f>IF(LEN(Table_ErrorList[[#This Row],[Details Explanation (Line '#2)]])&gt;$U$5,"Too Long, Characters = "&amp;LEN(Table_ErrorList[[#This Row],[Details Explanation (Line '#2)]])," ")</f>
        <v xml:space="preserve"> </v>
      </c>
    </row>
    <row r="163" spans="1:22" s="30" customFormat="1" ht="30" x14ac:dyDescent="0.25">
      <c r="A163" s="101" t="b">
        <f>IF(
AND(Others_Date11&gt;0,NOT(OR(Others_Date11=0,Others_Date11="",Others_Date11=Dropdown_NotSelectedValue))),
NOT(AND(Field15_TravelStartDate&lt;=Others_Date11,Field16_TravelEndDate&gt;=Others_Date11)),FALSE)</f>
        <v>0</v>
      </c>
      <c r="B163" s="101">
        <f ca="1">IFERROR(INDIRECT(Table_ErrorList[[#This Row],[Attention To Named Range]]),"Error")</f>
        <v>0</v>
      </c>
      <c r="C163" s="96">
        <v>1701</v>
      </c>
      <c r="D163" s="96" t="str">
        <f ca="1">IF(Table_ErrorList[[#This Row],[Manual Hierarchy]]="",CONCATENATE(TEXT(Table_ErrorList[[#This Row],[Section '#]],"00"),"-",TEXT(COUNTIF($E163:OFFSET(Table_ErrorList[[#Headers],[Section '#]],1,0,1,1),Table_ErrorList[[#This Row],[Section '#]]),"000")),Table_ErrorList[[#This Row],[Manual Hierarchy]])</f>
        <v>07-092</v>
      </c>
      <c r="E163" s="98">
        <v>7</v>
      </c>
      <c r="F163" s="98" t="str">
        <f>IFERROR(VLOOKUP(Table_ErrorList[[#This Row],[Section '#]],Table_SectionNames[],MATCH(Table_SectionNames[[#Headers],[Name]],Table_SectionNames[#Headers],0),FALSE),"Not found")</f>
        <v>Other Expenses</v>
      </c>
      <c r="G163" s="98"/>
      <c r="H163" s="101" t="str">
        <f>IFERROR(VLOOKUP(Table_ErrorList[[#This Row],[Attention To Named Range]],Table_NamedRanges[],MATCH(Table_NamedRanges[[#Headers],[Reference Type]],Table_NamedRanges[#Headers],0),FALSE),"Error")</f>
        <v>Single Cell</v>
      </c>
      <c r="I163" s="96" t="s">
        <v>658</v>
      </c>
      <c r="J163" s="101" t="str">
        <f>IF(Table_ErrorList[[#This Row],[Manual Reference]]="",Table_ErrorList[[#This Row],[''Attention To'' Refence]],Table_ErrorList[[#This Row],[Manual Reference]])&amp;","</f>
        <v>$I$37,</v>
      </c>
      <c r="K163" s="101" t="str">
        <f>SUBSTITUTE(SUBSTITUTE(VLOOKUP(Table_ErrorList[[#This Row],[Attention To Named Range]],Table_NamedRanges[],MATCH(Table_NamedRanges[[#Headers],[Reference Text]],Table_NamedRanges[#Headers],0),FALSE),"=",""),"'Travel Expense Summary'!","")</f>
        <v>$I$37</v>
      </c>
      <c r="L163" s="101"/>
      <c r="M163" s="81" t="s">
        <v>661</v>
      </c>
      <c r="N163" s="81" t="s">
        <v>415</v>
      </c>
      <c r="O163" s="81" t="b">
        <v>1</v>
      </c>
      <c r="P163" s="100" t="s">
        <v>416</v>
      </c>
      <c r="Q163" s="100" t="s">
        <v>417</v>
      </c>
      <c r="R163"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63" s="81" t="b">
        <v>1</v>
      </c>
      <c r="T163" s="101" t="str">
        <f>IF(LEN(Table_ErrorList[[#This Row],[Message Bar Display]])&gt;$U$5,"Too Long, Characters = "&amp;LEN(Table_ErrorList[[#This Row],[Message Bar Display]])," ")</f>
        <v xml:space="preserve"> </v>
      </c>
      <c r="U163" s="101" t="str">
        <f>IF(LEN(Table_ErrorList[[#This Row],[Details Explanation (Line '#1)]])&gt;$U$5,"Too Long, Characters = "&amp;LEN(Table_ErrorList[[#This Row],[Details Explanation (Line '#1)]])," ")</f>
        <v xml:space="preserve"> </v>
      </c>
      <c r="V163" s="101" t="str">
        <f>IF(LEN(Table_ErrorList[[#This Row],[Details Explanation (Line '#2)]])&gt;$U$5,"Too Long, Characters = "&amp;LEN(Table_ErrorList[[#This Row],[Details Explanation (Line '#2)]])," ")</f>
        <v xml:space="preserve"> </v>
      </c>
    </row>
    <row r="164" spans="1:22" ht="33.75" x14ac:dyDescent="0.25">
      <c r="A164" s="101" t="b">
        <f>AND(
OR(Others_Expense11=0,Others_Expense11="",Others_Expense11=Dropdown_NotSelectedValue),
COUNTA(Others_Date11,Others_Desc11, Others_From11, Others_To11, Others_Receipt11, Others_KM11)&gt;0)</f>
        <v>0</v>
      </c>
      <c r="B164" s="101">
        <f ca="1">IFERROR(INDIRECT(Table_ErrorList[[#This Row],[Attention To Named Range]]),"Error")</f>
        <v>0</v>
      </c>
      <c r="C164" s="96">
        <v>1710</v>
      </c>
      <c r="D164" s="96" t="str">
        <f ca="1">IF(Table_ErrorList[[#This Row],[Manual Hierarchy]]="",CONCATENATE(TEXT(Table_ErrorList[[#This Row],[Section '#]],"00"),"-",TEXT(COUNTIF($E164:OFFSET(Table_ErrorList[[#Headers],[Section '#]],1,0,1,1),Table_ErrorList[[#This Row],[Section '#]]),"000")),Table_ErrorList[[#This Row],[Manual Hierarchy]])</f>
        <v>07-093</v>
      </c>
      <c r="E164" s="98">
        <v>7</v>
      </c>
      <c r="F164" s="98" t="str">
        <f>IFERROR(VLOOKUP(Table_ErrorList[[#This Row],[Section '#]],Table_SectionNames[],MATCH(Table_SectionNames[[#Headers],[Name]],Table_SectionNames[#Headers],0),FALSE),"Not found")</f>
        <v>Other Expenses</v>
      </c>
      <c r="G164" s="98"/>
      <c r="H164" s="101" t="str">
        <f>IFERROR(VLOOKUP(Table_ErrorList[[#This Row],[Attention To Named Range]],Table_NamedRanges[],MATCH(Table_NamedRanges[[#Headers],[Reference Type]],Table_NamedRanges[#Headers],0),FALSE),"Error")</f>
        <v>Single Cell</v>
      </c>
      <c r="I164" s="96" t="s">
        <v>662</v>
      </c>
      <c r="J164" s="101" t="str">
        <f>IF(Table_ErrorList[[#This Row],[Manual Reference]]="",Table_ErrorList[[#This Row],[''Attention To'' Refence]],Table_ErrorList[[#This Row],[Manual Reference]])&amp;","</f>
        <v>$K$37,</v>
      </c>
      <c r="K164" s="101" t="str">
        <f>SUBSTITUTE(SUBSTITUTE(VLOOKUP(Table_ErrorList[[#This Row],[Attention To Named Range]],Table_NamedRanges[],MATCH(Table_NamedRanges[[#Headers],[Reference Text]],Table_NamedRanges[#Headers],0),FALSE),"=",""),"'Travel Expense Summary'!","")</f>
        <v>$K$37</v>
      </c>
      <c r="L164" s="101"/>
      <c r="M164" s="81" t="s">
        <v>663</v>
      </c>
      <c r="N164" s="81" t="s">
        <v>664</v>
      </c>
      <c r="O164" s="81" t="b">
        <v>1</v>
      </c>
      <c r="P164" s="100" t="s">
        <v>421</v>
      </c>
      <c r="Q164" s="100" t="s">
        <v>422</v>
      </c>
      <c r="R164"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64" s="81" t="b">
        <v>1</v>
      </c>
      <c r="T164" s="81" t="str">
        <f>IF(LEN(Table_ErrorList[[#This Row],[Message Bar Display]])&gt;$U$5,"Too Long, Characters = "&amp;LEN(Table_ErrorList[[#This Row],[Message Bar Display]])," ")</f>
        <v xml:space="preserve"> </v>
      </c>
      <c r="U164" s="81" t="str">
        <f>IF(LEN(Table_ErrorList[[#This Row],[Details Explanation (Line '#1)]])&gt;$U$5,"Too Long, Characters = "&amp;LEN(Table_ErrorList[[#This Row],[Details Explanation (Line '#1)]])," ")</f>
        <v xml:space="preserve"> </v>
      </c>
      <c r="V164" s="81" t="str">
        <f>IF(LEN(Table_ErrorList[[#This Row],[Details Explanation (Line '#2)]])&gt;$U$5,"Too Long, Characters = "&amp;LEN(Table_ErrorList[[#This Row],[Details Explanation (Line '#2)]])," ")</f>
        <v xml:space="preserve"> </v>
      </c>
    </row>
    <row r="165" spans="1:22" s="30" customFormat="1" ht="30" x14ac:dyDescent="0.25">
      <c r="A165" s="101" t="b">
        <f>IF(AND(ISBLANK(Others_Expense11)=FALSE,Others_Expense11&lt;&gt;Dropdown_NotSelectedValue),IFERROR(NOT(MATCH(Others_Expense11,Dropdown_Expenses,0)&gt;0),TRUE),FALSE)</f>
        <v>0</v>
      </c>
      <c r="B165" s="101">
        <f ca="1">IFERROR(INDIRECT(Table_ErrorList[[#This Row],[Attention To Named Range]]),"Error")</f>
        <v>0</v>
      </c>
      <c r="C165" s="96">
        <v>1711</v>
      </c>
      <c r="D165" s="96" t="str">
        <f ca="1">IF(Table_ErrorList[[#This Row],[Manual Hierarchy]]="",CONCATENATE(TEXT(Table_ErrorList[[#This Row],[Section '#]],"00"),"-",TEXT(COUNTIF($E165:OFFSET(Table_ErrorList[[#Headers],[Section '#]],1,0,1,1),Table_ErrorList[[#This Row],[Section '#]]),"000")),Table_ErrorList[[#This Row],[Manual Hierarchy]])</f>
        <v>07-094</v>
      </c>
      <c r="E165" s="98">
        <v>7</v>
      </c>
      <c r="F165" s="98" t="str">
        <f>IFERROR(VLOOKUP(Table_ErrorList[[#This Row],[Section '#]],Table_SectionNames[],MATCH(Table_SectionNames[[#Headers],[Name]],Table_SectionNames[#Headers],0),FALSE),"Not found")</f>
        <v>Other Expenses</v>
      </c>
      <c r="G165" s="98"/>
      <c r="H165" s="101" t="str">
        <f>IFERROR(VLOOKUP(Table_ErrorList[[#This Row],[Attention To Named Range]],Table_NamedRanges[],MATCH(Table_NamedRanges[[#Headers],[Reference Type]],Table_NamedRanges[#Headers],0),FALSE),"Error")</f>
        <v>Single Cell</v>
      </c>
      <c r="I165" s="96" t="s">
        <v>662</v>
      </c>
      <c r="J165" s="101" t="str">
        <f>IF(Table_ErrorList[[#This Row],[Manual Reference]]="",Table_ErrorList[[#This Row],[''Attention To'' Refence]],Table_ErrorList[[#This Row],[Manual Reference]])&amp;","</f>
        <v>$K$37,</v>
      </c>
      <c r="K165" s="101" t="str">
        <f>SUBSTITUTE(SUBSTITUTE(VLOOKUP(Table_ErrorList[[#This Row],[Attention To Named Range]],Table_NamedRanges[],MATCH(Table_NamedRanges[[#Headers],[Reference Text]],Table_NamedRanges[#Headers],0),FALSE),"=",""),"'Travel Expense Summary'!","")</f>
        <v>$K$37</v>
      </c>
      <c r="L165" s="101"/>
      <c r="M165" s="81" t="s">
        <v>665</v>
      </c>
      <c r="N165" s="81" t="s">
        <v>424</v>
      </c>
      <c r="O165" s="81" t="b">
        <v>1</v>
      </c>
      <c r="P165" s="100" t="s">
        <v>425</v>
      </c>
      <c r="Q165" s="100" t="s">
        <v>269</v>
      </c>
      <c r="R165"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65" s="81" t="b">
        <v>1</v>
      </c>
      <c r="T165" s="101" t="str">
        <f>IF(LEN(Table_ErrorList[[#This Row],[Message Bar Display]])&gt;$U$5,"Too Long, Characters = "&amp;LEN(Table_ErrorList[[#This Row],[Message Bar Display]])," ")</f>
        <v xml:space="preserve"> </v>
      </c>
      <c r="U165" s="101" t="str">
        <f>IF(LEN(Table_ErrorList[[#This Row],[Details Explanation (Line '#1)]])&gt;$U$5,"Too Long, Characters = "&amp;LEN(Table_ErrorList[[#This Row],[Details Explanation (Line '#1)]])," ")</f>
        <v xml:space="preserve"> </v>
      </c>
      <c r="V165" s="101" t="str">
        <f>IF(LEN(Table_ErrorList[[#This Row],[Details Explanation (Line '#2)]])&gt;$U$5,"Too Long, Characters = "&amp;LEN(Table_ErrorList[[#This Row],[Details Explanation (Line '#2)]])," ")</f>
        <v xml:space="preserve"> </v>
      </c>
    </row>
    <row r="166" spans="1:22" ht="30" x14ac:dyDescent="0.25">
      <c r="A166" s="101" t="e">
        <f>AND(
VLOOKUP(Others_Expense11,Table_Expenses[],MATCH(Table_Expenses[[#Headers],[DescriptionRequired]],Table_Expenses[#Headers],0),FALSE),
OR(Others_Desc11=0,Others_Desc11="",Others_Desc11=Dropdown_NotSelectedValue),
COUNTA(Others_Date11,Others_Expense11,, Others_From11, Others_To11, Others_Receipt11, Others_KM11)&gt;0)</f>
        <v>#N/A</v>
      </c>
      <c r="B166" s="101">
        <f ca="1">IFERROR(INDIRECT(Table_ErrorList[[#This Row],[Attention To Named Range]]),"Error")</f>
        <v>0</v>
      </c>
      <c r="C166" s="96">
        <v>1720</v>
      </c>
      <c r="D166" s="96" t="str">
        <f ca="1">IF(Table_ErrorList[[#This Row],[Manual Hierarchy]]="",CONCATENATE(TEXT(Table_ErrorList[[#This Row],[Section '#]],"00"),"-",TEXT(COUNTIF($E166:OFFSET(Table_ErrorList[[#Headers],[Section '#]],1,0,1,1),Table_ErrorList[[#This Row],[Section '#]]),"000")),Table_ErrorList[[#This Row],[Manual Hierarchy]])</f>
        <v>07-095</v>
      </c>
      <c r="E166" s="98">
        <v>7</v>
      </c>
      <c r="F166" s="98" t="str">
        <f>IFERROR(VLOOKUP(Table_ErrorList[[#This Row],[Section '#]],Table_SectionNames[],MATCH(Table_SectionNames[[#Headers],[Name]],Table_SectionNames[#Headers],0),FALSE),"Not found")</f>
        <v>Other Expenses</v>
      </c>
      <c r="G166" s="98"/>
      <c r="H166" s="101" t="str">
        <f>IFERROR(VLOOKUP(Table_ErrorList[[#This Row],[Attention To Named Range]],Table_NamedRanges[],MATCH(Table_NamedRanges[[#Headers],[Reference Type]],Table_NamedRanges[#Headers],0),FALSE),"Error")</f>
        <v>Single Cell</v>
      </c>
      <c r="I166" s="96" t="s">
        <v>666</v>
      </c>
      <c r="J166" s="101" t="str">
        <f>IF(Table_ErrorList[[#This Row],[Manual Reference]]="",Table_ErrorList[[#This Row],[''Attention To'' Refence]],Table_ErrorList[[#This Row],[Manual Reference]])&amp;","</f>
        <v>$M$37,</v>
      </c>
      <c r="K166" s="101" t="str">
        <f>SUBSTITUTE(SUBSTITUTE(VLOOKUP(Table_ErrorList[[#This Row],[Attention To Named Range]],Table_NamedRanges[],MATCH(Table_NamedRanges[[#Headers],[Reference Text]],Table_NamedRanges[#Headers],0),FALSE),"=",""),"'Travel Expense Summary'!","")</f>
        <v>$M$37</v>
      </c>
      <c r="L166" s="101"/>
      <c r="M166" s="81" t="s">
        <v>667</v>
      </c>
      <c r="N166" s="81" t="s">
        <v>668</v>
      </c>
      <c r="O166" s="81" t="b">
        <v>1</v>
      </c>
      <c r="P166" s="100" t="s">
        <v>429</v>
      </c>
      <c r="Q166" s="100" t="s">
        <v>430</v>
      </c>
      <c r="R166"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66" s="81" t="b">
        <v>1</v>
      </c>
      <c r="T166" s="81" t="str">
        <f>IF(LEN(Table_ErrorList[[#This Row],[Message Bar Display]])&gt;$U$5,"Too Long, Characters = "&amp;LEN(Table_ErrorList[[#This Row],[Message Bar Display]])," ")</f>
        <v xml:space="preserve"> </v>
      </c>
      <c r="U166" s="81" t="str">
        <f>IF(LEN(Table_ErrorList[[#This Row],[Details Explanation (Line '#1)]])&gt;$U$5,"Too Long, Characters = "&amp;LEN(Table_ErrorList[[#This Row],[Details Explanation (Line '#1)]])," ")</f>
        <v xml:space="preserve"> </v>
      </c>
      <c r="V166" s="81" t="str">
        <f>IF(LEN(Table_ErrorList[[#This Row],[Details Explanation (Line '#2)]])&gt;$U$5,"Too Long, Characters = "&amp;LEN(Table_ErrorList[[#This Row],[Details Explanation (Line '#2)]])," ")</f>
        <v xml:space="preserve"> </v>
      </c>
    </row>
    <row r="167" spans="1:22" ht="30" x14ac:dyDescent="0.25">
      <c r="A167" s="101" t="e">
        <f>AND(
VLOOKUP(Others_Expense11,Table_Expenses[],MATCH(Table_Expenses[[#Headers],[FromRequired]],Table_Expenses[#Headers],0),FALSE),
OR(Others_From11=0,Others_From11="",Others_From11=Dropdown_NotSelectedValue),
COUNTA(Others_Date11,Others_Expense11,Others_Desc11, Others_To11, Others_Receipt11, Others_KM11)&gt;0)</f>
        <v>#N/A</v>
      </c>
      <c r="B167" s="101">
        <f ca="1">IFERROR(INDIRECT(Table_ErrorList[[#This Row],[Attention To Named Range]]),"Error")</f>
        <v>0</v>
      </c>
      <c r="C167" s="96">
        <v>1730</v>
      </c>
      <c r="D167" s="96" t="str">
        <f ca="1">IF(Table_ErrorList[[#This Row],[Manual Hierarchy]]="",CONCATENATE(TEXT(Table_ErrorList[[#This Row],[Section '#]],"00"),"-",TEXT(COUNTIF($E167:OFFSET(Table_ErrorList[[#Headers],[Section '#]],1,0,1,1),Table_ErrorList[[#This Row],[Section '#]]),"000")),Table_ErrorList[[#This Row],[Manual Hierarchy]])</f>
        <v>07-096</v>
      </c>
      <c r="E167" s="98">
        <v>7</v>
      </c>
      <c r="F167" s="98" t="str">
        <f>IFERROR(VLOOKUP(Table_ErrorList[[#This Row],[Section '#]],Table_SectionNames[],MATCH(Table_SectionNames[[#Headers],[Name]],Table_SectionNames[#Headers],0),FALSE),"Not found")</f>
        <v>Other Expenses</v>
      </c>
      <c r="G167" s="98"/>
      <c r="H167" s="101" t="str">
        <f>IFERROR(VLOOKUP(Table_ErrorList[[#This Row],[Attention To Named Range]],Table_NamedRanges[],MATCH(Table_NamedRanges[[#Headers],[Reference Type]],Table_NamedRanges[#Headers],0),FALSE),"Error")</f>
        <v>Single Cell</v>
      </c>
      <c r="I167" s="96" t="s">
        <v>669</v>
      </c>
      <c r="J167" s="101" t="str">
        <f>IF(Table_ErrorList[[#This Row],[Manual Reference]]="",Table_ErrorList[[#This Row],[''Attention To'' Refence]],Table_ErrorList[[#This Row],[Manual Reference]])&amp;","</f>
        <v>$R$37,</v>
      </c>
      <c r="K167" s="101" t="str">
        <f>SUBSTITUTE(SUBSTITUTE(VLOOKUP(Table_ErrorList[[#This Row],[Attention To Named Range]],Table_NamedRanges[],MATCH(Table_NamedRanges[[#Headers],[Reference Text]],Table_NamedRanges[#Headers],0),FALSE),"=",""),"'Travel Expense Summary'!","")</f>
        <v>$R$37</v>
      </c>
      <c r="L167" s="101"/>
      <c r="M167" s="81" t="s">
        <v>670</v>
      </c>
      <c r="N167" s="81" t="s">
        <v>671</v>
      </c>
      <c r="O167" s="81" t="b">
        <v>1</v>
      </c>
      <c r="P167" s="100" t="s">
        <v>434</v>
      </c>
      <c r="Q167" s="100" t="s">
        <v>435</v>
      </c>
      <c r="R167"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67" s="81" t="b">
        <v>1</v>
      </c>
      <c r="T167" s="81" t="str">
        <f>IF(LEN(Table_ErrorList[[#This Row],[Message Bar Display]])&gt;$U$5,"Too Long, Characters = "&amp;LEN(Table_ErrorList[[#This Row],[Message Bar Display]])," ")</f>
        <v xml:space="preserve"> </v>
      </c>
      <c r="U167" s="81" t="str">
        <f>IF(LEN(Table_ErrorList[[#This Row],[Details Explanation (Line '#1)]])&gt;$U$5,"Too Long, Characters = "&amp;LEN(Table_ErrorList[[#This Row],[Details Explanation (Line '#1)]])," ")</f>
        <v xml:space="preserve"> </v>
      </c>
      <c r="V167" s="81" t="str">
        <f>IF(LEN(Table_ErrorList[[#This Row],[Details Explanation (Line '#2)]])&gt;$U$5,"Too Long, Characters = "&amp;LEN(Table_ErrorList[[#This Row],[Details Explanation (Line '#2)]])," ")</f>
        <v xml:space="preserve"> </v>
      </c>
    </row>
    <row r="168" spans="1:22" ht="30" x14ac:dyDescent="0.25">
      <c r="A168" s="101" t="e">
        <f>AND(
VLOOKUP(Others_Expense11,Table_Expenses[],MATCH(Table_Expenses[[#Headers],[ToRequired]],Table_Expenses[#Headers],0),FALSE),
OR(Others_To11=0,Others_To11="",Others_To11=Dropdown_NotSelectedValue),
COUNTA(Others_Date11,Others_Expense11,Others_Desc11, Others_From11, Others_Receipt11, Others_KM11)&gt;0)</f>
        <v>#N/A</v>
      </c>
      <c r="B168" s="101">
        <f ca="1">IFERROR(INDIRECT(Table_ErrorList[[#This Row],[Attention To Named Range]]),"Error")</f>
        <v>0</v>
      </c>
      <c r="C168" s="96">
        <v>1740</v>
      </c>
      <c r="D168" s="96" t="str">
        <f ca="1">IF(Table_ErrorList[[#This Row],[Manual Hierarchy]]="",CONCATENATE(TEXT(Table_ErrorList[[#This Row],[Section '#]],"00"),"-",TEXT(COUNTIF($E168:OFFSET(Table_ErrorList[[#Headers],[Section '#]],1,0,1,1),Table_ErrorList[[#This Row],[Section '#]]),"000")),Table_ErrorList[[#This Row],[Manual Hierarchy]])</f>
        <v>07-097</v>
      </c>
      <c r="E168" s="98">
        <v>7</v>
      </c>
      <c r="F168" s="98" t="str">
        <f>IFERROR(VLOOKUP(Table_ErrorList[[#This Row],[Section '#]],Table_SectionNames[],MATCH(Table_SectionNames[[#Headers],[Name]],Table_SectionNames[#Headers],0),FALSE),"Not found")</f>
        <v>Other Expenses</v>
      </c>
      <c r="G168" s="98"/>
      <c r="H168" s="101" t="str">
        <f>IFERROR(VLOOKUP(Table_ErrorList[[#This Row],[Attention To Named Range]],Table_NamedRanges[],MATCH(Table_NamedRanges[[#Headers],[Reference Type]],Table_NamedRanges[#Headers],0),FALSE),"Error")</f>
        <v>Single Cell</v>
      </c>
      <c r="I168" s="96" t="s">
        <v>672</v>
      </c>
      <c r="J168" s="101" t="str">
        <f>IF(Table_ErrorList[[#This Row],[Manual Reference]]="",Table_ErrorList[[#This Row],[''Attention To'' Refence]],Table_ErrorList[[#This Row],[Manual Reference]])&amp;","</f>
        <v>$T$37,</v>
      </c>
      <c r="K168" s="101" t="str">
        <f>SUBSTITUTE(SUBSTITUTE(VLOOKUP(Table_ErrorList[[#This Row],[Attention To Named Range]],Table_NamedRanges[],MATCH(Table_NamedRanges[[#Headers],[Reference Text]],Table_NamedRanges[#Headers],0),FALSE),"=",""),"'Travel Expense Summary'!","")</f>
        <v>$T$37</v>
      </c>
      <c r="L168" s="101"/>
      <c r="M168" s="81" t="s">
        <v>673</v>
      </c>
      <c r="N168" s="81" t="s">
        <v>674</v>
      </c>
      <c r="O168" s="81" t="b">
        <v>1</v>
      </c>
      <c r="P168" s="100" t="s">
        <v>439</v>
      </c>
      <c r="Q168" s="100" t="s">
        <v>435</v>
      </c>
      <c r="R168"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68" s="81" t="b">
        <v>1</v>
      </c>
      <c r="T168" s="81" t="str">
        <f>IF(LEN(Table_ErrorList[[#This Row],[Message Bar Display]])&gt;$U$5,"Too Long, Characters = "&amp;LEN(Table_ErrorList[[#This Row],[Message Bar Display]])," ")</f>
        <v xml:space="preserve"> </v>
      </c>
      <c r="U168" s="81" t="str">
        <f>IF(LEN(Table_ErrorList[[#This Row],[Details Explanation (Line '#1)]])&gt;$U$5,"Too Long, Characters = "&amp;LEN(Table_ErrorList[[#This Row],[Details Explanation (Line '#1)]])," ")</f>
        <v xml:space="preserve"> </v>
      </c>
      <c r="V168" s="81" t="str">
        <f>IF(LEN(Table_ErrorList[[#This Row],[Details Explanation (Line '#2)]])&gt;$U$5,"Too Long, Characters = "&amp;LEN(Table_ErrorList[[#This Row],[Details Explanation (Line '#2)]])," ")</f>
        <v xml:space="preserve"> </v>
      </c>
    </row>
    <row r="169" spans="1:22" ht="33.75" x14ac:dyDescent="0.25">
      <c r="A169" s="101" t="e">
        <f>AND(
VLOOKUP(Others_Expense11,Table_Expenses[],MATCH(Table_Expenses[[#Headers],[ReceiptRequired]],Table_Expenses[#Headers],0),FALSE),
OR(Others_Receipt11=0,Others_Receipt11="",Others_Receipt11=Dropdown_NotSelectedValue),
COUNTA(Others_Date11,Others_Expense11,Others_Desc11, Others_From11, Others_To11, Others_KM11)&gt;0)</f>
        <v>#N/A</v>
      </c>
      <c r="B169" s="101">
        <f ca="1">IFERROR(INDIRECT(Table_ErrorList[[#This Row],[Attention To Named Range]]),"Error")</f>
        <v>0</v>
      </c>
      <c r="C169" s="96">
        <v>1750</v>
      </c>
      <c r="D169" s="96" t="str">
        <f ca="1">IF(Table_ErrorList[[#This Row],[Manual Hierarchy]]="",CONCATENATE(TEXT(Table_ErrorList[[#This Row],[Section '#]],"00"),"-",TEXT(COUNTIF($E169:OFFSET(Table_ErrorList[[#Headers],[Section '#]],1,0,1,1),Table_ErrorList[[#This Row],[Section '#]]),"000")),Table_ErrorList[[#This Row],[Manual Hierarchy]])</f>
        <v>07-098</v>
      </c>
      <c r="E169" s="98">
        <v>7</v>
      </c>
      <c r="F169" s="98" t="str">
        <f>IFERROR(VLOOKUP(Table_ErrorList[[#This Row],[Section '#]],Table_SectionNames[],MATCH(Table_SectionNames[[#Headers],[Name]],Table_SectionNames[#Headers],0),FALSE),"Not found")</f>
        <v>Other Expenses</v>
      </c>
      <c r="G169" s="98"/>
      <c r="H169" s="101" t="str">
        <f>IFERROR(VLOOKUP(Table_ErrorList[[#This Row],[Attention To Named Range]],Table_NamedRanges[],MATCH(Table_NamedRanges[[#Headers],[Reference Type]],Table_NamedRanges[#Headers],0),FALSE),"Error")</f>
        <v>Single Cell</v>
      </c>
      <c r="I169" s="96" t="s">
        <v>675</v>
      </c>
      <c r="J169" s="101" t="str">
        <f>IF(Table_ErrorList[[#This Row],[Manual Reference]]="",Table_ErrorList[[#This Row],[''Attention To'' Refence]],Table_ErrorList[[#This Row],[Manual Reference]])&amp;","</f>
        <v>$X$37,</v>
      </c>
      <c r="K169" s="101" t="str">
        <f>SUBSTITUTE(SUBSTITUTE(VLOOKUP(Table_ErrorList[[#This Row],[Attention To Named Range]],Table_NamedRanges[],MATCH(Table_NamedRanges[[#Headers],[Reference Text]],Table_NamedRanges[#Headers],0),FALSE),"=",""),"'Travel Expense Summary'!","")</f>
        <v>$X$37</v>
      </c>
      <c r="L169" s="101"/>
      <c r="M169" s="81" t="s">
        <v>676</v>
      </c>
      <c r="N169" s="81" t="s">
        <v>677</v>
      </c>
      <c r="O169" s="81" t="b">
        <v>1</v>
      </c>
      <c r="P169" s="100" t="s">
        <v>443</v>
      </c>
      <c r="Q169" s="100" t="s">
        <v>364</v>
      </c>
      <c r="R169"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9" s="81" t="b">
        <v>1</v>
      </c>
      <c r="T169" s="81" t="str">
        <f>IF(LEN(Table_ErrorList[[#This Row],[Message Bar Display]])&gt;$U$5,"Too Long, Characters = "&amp;LEN(Table_ErrorList[[#This Row],[Message Bar Display]])," ")</f>
        <v xml:space="preserve"> </v>
      </c>
      <c r="U169" s="81" t="str">
        <f>IF(LEN(Table_ErrorList[[#This Row],[Details Explanation (Line '#1)]])&gt;$U$5,"Too Long, Characters = "&amp;LEN(Table_ErrorList[[#This Row],[Details Explanation (Line '#1)]])," ")</f>
        <v xml:space="preserve"> </v>
      </c>
      <c r="V169" s="81" t="str">
        <f>IF(LEN(Table_ErrorList[[#This Row],[Details Explanation (Line '#2)]])&gt;$U$5,"Too Long, Characters = "&amp;LEN(Table_ErrorList[[#This Row],[Details Explanation (Line '#2)]])," ")</f>
        <v xml:space="preserve"> </v>
      </c>
    </row>
    <row r="170" spans="1:22" s="30" customFormat="1" ht="45" x14ac:dyDescent="0.25">
      <c r="A170" s="101" t="e">
        <f>AND(
VLOOKUP(Others_Expense11,Table_Expenses[],MATCH(Table_Expenses[[#Headers],[KMRequired]],Table_Expenses[#Headers],0),FALSE),
OR(Others_KM11=0,Others_KM11="",Others_KM11=Dropdown_NotSelectedValue),
COUNTA(Others_Date11,Others_Expense11,Others_Desc11, Others_From11, Others_To11, Others_Receipt11)&gt;0)</f>
        <v>#N/A</v>
      </c>
      <c r="B170" s="101">
        <f ca="1">IFERROR(INDIRECT(Table_ErrorList[[#This Row],[Attention To Named Range]]),"Error")</f>
        <v>0</v>
      </c>
      <c r="C170" s="96">
        <v>1760</v>
      </c>
      <c r="D170" s="96" t="str">
        <f ca="1">IF(Table_ErrorList[[#This Row],[Manual Hierarchy]]="",CONCATENATE(TEXT(Table_ErrorList[[#This Row],[Section '#]],"00"),"-",TEXT(COUNTIF($E170:OFFSET(Table_ErrorList[[#Headers],[Section '#]],1,0,1,1),Table_ErrorList[[#This Row],[Section '#]]),"000")),Table_ErrorList[[#This Row],[Manual Hierarchy]])</f>
        <v>07-099</v>
      </c>
      <c r="E170" s="98">
        <v>7</v>
      </c>
      <c r="F170" s="98" t="str">
        <f>IFERROR(VLOOKUP(Table_ErrorList[[#This Row],[Section '#]],Table_SectionNames[],MATCH(Table_SectionNames[[#Headers],[Name]],Table_SectionNames[#Headers],0),FALSE),"Not found")</f>
        <v>Other Expenses</v>
      </c>
      <c r="G170" s="98"/>
      <c r="H170" s="101" t="str">
        <f>IFERROR(VLOOKUP(Table_ErrorList[[#This Row],[Attention To Named Range]],Table_NamedRanges[],MATCH(Table_NamedRanges[[#Headers],[Reference Type]],Table_NamedRanges[#Headers],0),FALSE),"Error")</f>
        <v>Single Cell</v>
      </c>
      <c r="I170" s="96" t="s">
        <v>678</v>
      </c>
      <c r="J170" s="101" t="str">
        <f>IF(Table_ErrorList[[#This Row],[Manual Reference]]="",Table_ErrorList[[#This Row],[''Attention To'' Refence]],Table_ErrorList[[#This Row],[Manual Reference]])&amp;","</f>
        <v>$Y$37,</v>
      </c>
      <c r="K170" s="101" t="str">
        <f>SUBSTITUTE(SUBSTITUTE(VLOOKUP(Table_ErrorList[[#This Row],[Attention To Named Range]],Table_NamedRanges[],MATCH(Table_NamedRanges[[#Headers],[Reference Text]],Table_NamedRanges[#Headers],0),FALSE),"=",""),"'Travel Expense Summary'!","")</f>
        <v>$Y$37</v>
      </c>
      <c r="L170" s="101"/>
      <c r="M170" s="81" t="s">
        <v>679</v>
      </c>
      <c r="N170" s="81" t="s">
        <v>680</v>
      </c>
      <c r="O170" s="81" t="b">
        <v>1</v>
      </c>
      <c r="P170" s="100" t="s">
        <v>472</v>
      </c>
      <c r="Q170" s="100" t="s">
        <v>473</v>
      </c>
      <c r="R170"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70" s="81" t="b">
        <v>1</v>
      </c>
      <c r="T170" s="81" t="str">
        <f>IF(LEN(Table_ErrorList[[#This Row],[Message Bar Display]])&gt;$U$5,"Too Long, Characters = "&amp;LEN(Table_ErrorList[[#This Row],[Message Bar Display]])," ")</f>
        <v xml:space="preserve"> </v>
      </c>
      <c r="U170" s="81" t="str">
        <f>IF(LEN(Table_ErrorList[[#This Row],[Details Explanation (Line '#1)]])&gt;$U$5,"Too Long, Characters = "&amp;LEN(Table_ErrorList[[#This Row],[Details Explanation (Line '#1)]])," ")</f>
        <v xml:space="preserve"> </v>
      </c>
      <c r="V170" s="81" t="str">
        <f>IF(LEN(Table_ErrorList[[#This Row],[Details Explanation (Line '#2)]])&gt;$U$5,"Too Long, Characters = "&amp;LEN(Table_ErrorList[[#This Row],[Details Explanation (Line '#2)]])," ")</f>
        <v xml:space="preserve"> </v>
      </c>
    </row>
    <row r="171" spans="1:22" s="30" customFormat="1" ht="45" x14ac:dyDescent="0.25">
      <c r="A171" s="101" t="b">
        <f ca="1">OR(ISBLANK(Table_ErrorList[[#This Row],[Relevant Cell Value]]),Table_ErrorList[[#This Row],[Relevant Cell Value]]=Dropdown_NotSelectedValue,Table_ErrorList[[#This Row],[Relevant Cell Value]]=0)</f>
        <v>0</v>
      </c>
      <c r="B171" s="101">
        <f ca="1">IFERROR(INDIRECT(Table_ErrorList[[#This Row],[Attention To Named Range]]),"Error")</f>
        <v>43636</v>
      </c>
      <c r="C171" s="96">
        <v>1761</v>
      </c>
      <c r="D171" s="96" t="str">
        <f ca="1">IF(Table_ErrorList[[#This Row],[Manual Hierarchy]]="",CONCATENATE(TEXT(Table_ErrorList[[#This Row],[Section '#]],"00"),"-",TEXT(COUNTIF($E171:OFFSET(Table_ErrorList[[#Headers],[Section '#]],1,0,1,1),Table_ErrorList[[#This Row],[Section '#]]),"000")),Table_ErrorList[[#This Row],[Manual Hierarchy]])</f>
        <v>07-097</v>
      </c>
      <c r="E171" s="98">
        <v>90</v>
      </c>
      <c r="F171" s="98" t="str">
        <f>IFERROR(VLOOKUP(Table_ErrorList[[#This Row],[Section '#]],Table_SectionNames[],MATCH(Table_SectionNames[[#Headers],[Name]],Table_SectionNames[#Headers],0),FALSE),"Not found")</f>
        <v>Submission Date</v>
      </c>
      <c r="G171" s="98" t="s">
        <v>681</v>
      </c>
      <c r="H171" s="101" t="str">
        <f>IFERROR(VLOOKUP(Table_ErrorList[[#This Row],[Attention To Named Range]],Table_NamedRanges[],MATCH(Table_NamedRanges[[#Headers],[Reference Type]],Table_NamedRanges[#Headers],0),FALSE),"Error")</f>
        <v>Single Cell</v>
      </c>
      <c r="I171" s="96" t="s">
        <v>682</v>
      </c>
      <c r="J171" s="101" t="str">
        <f>IF(Table_ErrorList[[#This Row],[Manual Reference]]="",Table_ErrorList[[#This Row],[''Attention To'' Refence]],Table_ErrorList[[#This Row],[Manual Reference]])&amp;","</f>
        <v>$U$43,</v>
      </c>
      <c r="K171" s="101" t="str">
        <f>SUBSTITUTE(SUBSTITUTE(VLOOKUP(Table_ErrorList[[#This Row],[Attention To Named Range]],Table_NamedRanges[],MATCH(Table_NamedRanges[[#Headers],[Reference Text]],Table_NamedRanges[#Headers],0),FALSE),"=",""),"'Travel Expense Summary'!","")</f>
        <v>$U$43</v>
      </c>
      <c r="L171" s="101"/>
      <c r="M171" s="81"/>
      <c r="N171" s="81" t="s">
        <v>683</v>
      </c>
      <c r="O171" s="81" t="b">
        <v>1</v>
      </c>
      <c r="P171" s="100" t="s">
        <v>684</v>
      </c>
      <c r="Q171" s="100" t="s">
        <v>253</v>
      </c>
      <c r="R171" s="102" t="str">
        <f>CONCATENATE(Table_ErrorList[[#This Row],[Details Explanation (Line '#1)]],IF(Table_ErrorList[[#This Row],[Details Explanation (Line '#2)]]&lt;&gt;"",CHAR(10)&amp;Table_ErrorList[[#This Row],[Details Explanation (Line '#2)]],""))</f>
        <v>Enter the 'Submission Date' within 3 months of the travel end date in any format recognizable by Excel.
For example, it could be entered in full (ie. January 1, 2000) or it can be entered as DD/MM/YY or YYYY/MM/DD.</v>
      </c>
      <c r="S171" s="81" t="b">
        <v>1</v>
      </c>
      <c r="T171" s="81" t="str">
        <f>IF(LEN(Table_ErrorList[[#This Row],[Message Bar Display]])&gt;$U$5,"Too Long, Characters = "&amp;LEN(Table_ErrorList[[#This Row],[Message Bar Display]])," ")</f>
        <v xml:space="preserve"> </v>
      </c>
      <c r="U171" s="81" t="str">
        <f>IF(LEN(Table_ErrorList[[#This Row],[Details Explanation (Line '#1)]])&gt;$U$5,"Too Long, Characters = "&amp;LEN(Table_ErrorList[[#This Row],[Details Explanation (Line '#1)]])," ")</f>
        <v xml:space="preserve"> </v>
      </c>
      <c r="V171" s="81" t="str">
        <f>IF(LEN(Table_ErrorList[[#This Row],[Details Explanation (Line '#2)]])&gt;$U$5,"Too Long, Characters = "&amp;LEN(Table_ErrorList[[#This Row],[Details Explanation (Line '#2)]])," ")</f>
        <v xml:space="preserve"> </v>
      </c>
    </row>
    <row r="172" spans="1:22" s="30" customFormat="1" ht="22.5" x14ac:dyDescent="0.25">
      <c r="A172" s="101" t="b">
        <f>DATE(YEAR(Field16_TravelEndDate),MONTH(Field16_TravelEndDate)+3,DAY(Field16_TravelEndDate))&lt;=Authorization_SubmissionDate</f>
        <v>0</v>
      </c>
      <c r="B172" s="101">
        <f ca="1">IFERROR(INDIRECT(Table_ErrorList[[#This Row],[Attention To Named Range]]),"Error")</f>
        <v>43636</v>
      </c>
      <c r="C172" s="96">
        <v>1762</v>
      </c>
      <c r="D172" s="96" t="str">
        <f ca="1">IF(Table_ErrorList[[#This Row],[Manual Hierarchy]]="",CONCATENATE(TEXT(Table_ErrorList[[#This Row],[Section '#]],"00"),"-",TEXT(COUNTIF($E172:OFFSET(Table_ErrorList[[#Headers],[Section '#]],1,0,1,1),Table_ErrorList[[#This Row],[Section '#]]),"000")),Table_ErrorList[[#This Row],[Manual Hierarchy]])</f>
        <v>07-098</v>
      </c>
      <c r="E172" s="98">
        <v>90</v>
      </c>
      <c r="F172" s="98" t="str">
        <f>IFERROR(VLOOKUP(Table_ErrorList[[#This Row],[Section '#]],Table_SectionNames[],MATCH(Table_SectionNames[[#Headers],[Name]],Table_SectionNames[#Headers],0),FALSE),"Not found")</f>
        <v>Submission Date</v>
      </c>
      <c r="G172" s="98" t="s">
        <v>685</v>
      </c>
      <c r="H172" s="101" t="str">
        <f>IFERROR(VLOOKUP(Table_ErrorList[[#This Row],[Attention To Named Range]],Table_NamedRanges[],MATCH(Table_NamedRanges[[#Headers],[Reference Type]],Table_NamedRanges[#Headers],0),FALSE),"Error")</f>
        <v>Single Cell</v>
      </c>
      <c r="I172" s="96" t="s">
        <v>682</v>
      </c>
      <c r="J172" s="101" t="str">
        <f>IF(Table_ErrorList[[#This Row],[Manual Reference]]="",Table_ErrorList[[#This Row],[''Attention To'' Refence]],Table_ErrorList[[#This Row],[Manual Reference]])&amp;","</f>
        <v>$U$43,$C$32,</v>
      </c>
      <c r="K172" s="101" t="str">
        <f>SUBSTITUTE(SUBSTITUTE(VLOOKUP(Table_ErrorList[[#This Row],[Attention To Named Range]],Table_NamedRanges[],MATCH(Table_NamedRanges[[#Headers],[Reference Text]],Table_NamedRanges[#Headers],0),FALSE),"=",""),"'Travel Expense Summary'!","")</f>
        <v>$U$43</v>
      </c>
      <c r="L172" s="101" t="s">
        <v>686</v>
      </c>
      <c r="M172" s="81"/>
      <c r="N172" s="81" t="s">
        <v>687</v>
      </c>
      <c r="O172" s="81" t="b">
        <v>1</v>
      </c>
      <c r="P172" s="100" t="s">
        <v>688</v>
      </c>
      <c r="Q172" s="100"/>
      <c r="R172" s="102" t="str">
        <f>CONCATENATE(Table_ErrorList[[#This Row],[Details Explanation (Line '#1)]],IF(Table_ErrorList[[#This Row],[Details Explanation (Line '#2)]]&lt;&gt;"",CHAR(10)&amp;Table_ErrorList[[#This Row],[Details Explanation (Line '#2)]],""))</f>
        <v xml:space="preserve">The 'Submission Date' must be within 3 months of the 'Travel End Date' for your travel claim to be eligible for reimbursement. </v>
      </c>
      <c r="S172" s="81" t="b">
        <v>1</v>
      </c>
      <c r="T172" s="101" t="str">
        <f>IF(LEN(Table_ErrorList[[#This Row],[Message Bar Display]])&gt;$U$5,"Too Long, Characters = "&amp;LEN(Table_ErrorList[[#This Row],[Message Bar Display]])," ")</f>
        <v xml:space="preserve"> </v>
      </c>
      <c r="U172" s="101" t="str">
        <f>IF(LEN(Table_ErrorList[[#This Row],[Details Explanation (Line '#1)]])&gt;$U$5,"Too Long, Characters = "&amp;LEN(Table_ErrorList[[#This Row],[Details Explanation (Line '#1)]])," ")</f>
        <v xml:space="preserve"> </v>
      </c>
      <c r="V172" s="101" t="str">
        <f>IF(LEN(Table_ErrorList[[#This Row],[Details Explanation (Line '#2)]])&gt;$U$5,"Too Long, Characters = "&amp;LEN(Table_ErrorList[[#This Row],[Details Explanation (Line '#2)]])," ")</f>
        <v xml:space="preserve"> </v>
      </c>
    </row>
    <row r="173" spans="1:22" s="30" customFormat="1" ht="45" x14ac:dyDescent="0.25">
      <c r="A173" s="109" t="b">
        <f ca="1">AND(COUNTIF(Error_OffsetRef:A171,TRUE)=0,COUNTA(Field30_MaximumAmount,Field31_MaximumReason,ClaimAllocation_Amount1,ClaimAllocation_Amount2,ClaimAllocation_Amount3,ClaimAllocation_Amount4,ClaimAllocation_GL1,ClaimAllocation_GL2,ClaimAllocation_GL3,ClaimAllocation_GL4)=0)</f>
        <v>1</v>
      </c>
      <c r="B173" s="109" t="str">
        <f ca="1">IFERROR(INDIRECT(Table_ErrorList[[#This Row],[Attention To Named Range]]),"Error")</f>
        <v>Error</v>
      </c>
      <c r="C173" s="110">
        <v>1770</v>
      </c>
      <c r="D173" s="110" t="str">
        <f ca="1">IF(Table_ErrorList[[#This Row],[Manual Hierarchy]]="",CONCATENATE(TEXT(Table_ErrorList[[#This Row],[Section '#]],"00"),"-",TEXT(COUNTIF($E173:OFFSET(Table_ErrorList[[#Headers],[Section '#]],1,0,1,1),Table_ErrorList[[#This Row],[Section '#]]),"000")),Table_ErrorList[[#This Row],[Manual Hierarchy]])</f>
        <v>07-999</v>
      </c>
      <c r="E173" s="111">
        <v>98</v>
      </c>
      <c r="F173" s="111" t="str">
        <f>IFERROR(VLOOKUP(Table_ErrorList[[#This Row],[Section '#]],Table_SectionNames[],MATCH(Table_SectionNames[[#Headers],[Name]],Table_SectionNames[#Headers],0),FALSE),"Not found")</f>
        <v>Milestone #1</v>
      </c>
      <c r="G173" s="111" t="s">
        <v>689</v>
      </c>
      <c r="H173" s="109" t="str">
        <f>IFERROR(VLOOKUP(Table_ErrorList[[#This Row],[Attention To Named Range]],Table_NamedRanges[],MATCH(Table_NamedRanges[[#Headers],[Reference Type]],Table_NamedRanges[#Headers],0),FALSE),"Error")</f>
        <v>Error</v>
      </c>
      <c r="I173" s="110"/>
      <c r="J173" s="109" t="e">
        <f>IF(Table_ErrorList[[#This Row],[Manual Reference]]="",Table_ErrorList[[#This Row],[''Attention To'' Refence]],Table_ErrorList[[#This Row],[Manual Reference]])&amp;","</f>
        <v>#N/A</v>
      </c>
      <c r="K173" s="109" t="e">
        <f>SUBSTITUTE(SUBSTITUTE(VLOOKUP(Table_ErrorList[[#This Row],[Attention To Named Range]],Table_NamedRanges[],MATCH(Table_NamedRanges[[#Headers],[Reference Text]],Table_NamedRanges[#Headers],0),FALSE),"=",""),"'Travel Expense Summary'!","")</f>
        <v>#N/A</v>
      </c>
      <c r="L173" s="109"/>
      <c r="M173" s="112" t="s">
        <v>690</v>
      </c>
      <c r="N173" s="112" t="str">
        <f ca="1">"You have successfully included "&amp;TEXT(ROUND(COUNTIF(ReceiptAreaMeals,"&gt;0")+COUNTIF(Other_TotalArray,"&gt;0"),0),"##")&amp;" items totalling "&amp;TEXT(ROUND(Total_ExpenseClaimed,2),"$#,###.00")&amp;"."</f>
        <v>You have successfully included 4 items totalling $680.18.</v>
      </c>
      <c r="O173" s="112" t="b">
        <v>0</v>
      </c>
      <c r="P173" s="113" t="s">
        <v>691</v>
      </c>
      <c r="Q173" s="113" t="s">
        <v>692</v>
      </c>
      <c r="R173" s="114" t="str">
        <f>CONCATENATE(Table_ErrorList[[#This Row],[Details Explanation (Line '#1)]],IF(Table_ErrorList[[#This Row],[Details Explanation (Line '#2)]]&lt;&gt;"",CHAR(10)&amp;Table_ErrorList[[#This Row],[Details Explanation (Line '#2)]],""))</f>
        <v>If this is all your claim items, forward your claim to the appropriate individual for review and approval.
If this is not all your items, continue completing '6.0 Meals' and '7.0 Other Expenses'.</v>
      </c>
      <c r="S173" s="112" t="b">
        <v>0</v>
      </c>
      <c r="T173" s="81" t="str">
        <f ca="1">IF(LEN(Table_ErrorList[[#This Row],[Message Bar Display]])&gt;$U$5,"Too Long, Characters = "&amp;LEN(Table_ErrorList[[#This Row],[Message Bar Display]])," ")</f>
        <v xml:space="preserve"> </v>
      </c>
      <c r="U173" s="81" t="str">
        <f>IF(LEN(Table_ErrorList[[#This Row],[Details Explanation (Line '#1)]])&gt;$U$5,"Too Long, Characters = "&amp;LEN(Table_ErrorList[[#This Row],[Details Explanation (Line '#1)]])," ")</f>
        <v xml:space="preserve"> </v>
      </c>
      <c r="V173" s="81" t="str">
        <f>IF(LEN(Table_ErrorList[[#This Row],[Details Explanation (Line '#2)]])&gt;$U$5,"Too Long, Characters = "&amp;LEN(Table_ErrorList[[#This Row],[Details Explanation (Line '#2)]])," ")</f>
        <v xml:space="preserve"> </v>
      </c>
    </row>
    <row r="174" spans="1:22" s="30" customFormat="1" ht="33.75" x14ac:dyDescent="0.25">
      <c r="A174" s="101" t="b">
        <f>IF(COUNTA(Field30_MaximumAmount,Field31_MaximumReason)&gt;0,
IF(COUNTA(Field31_MaximumReason)&gt;0,OR(ISBLANK(Table_ErrorList[[#This Row],[Relevant Cell Value]]),Table_ErrorList[[#This Row],[Relevant Cell Value]]=Dropdown_NotSelectedValue,Table_ErrorList[[#This Row],[Relevant Cell Value]]=0),FALSE),FALSE)</f>
        <v>0</v>
      </c>
      <c r="B174" s="101">
        <f ca="1">IFERROR(INDIRECT(Table_ErrorList[[#This Row],[Attention To Named Range]]),"Error")</f>
        <v>0</v>
      </c>
      <c r="C174" s="96">
        <v>1797</v>
      </c>
      <c r="D174" s="96" t="str">
        <f ca="1">IF(Table_ErrorList[[#This Row],[Manual Hierarchy]]="",CONCATENATE(TEXT(Table_ErrorList[[#This Row],[Section '#]],"00"),"-",TEXT(COUNTIF($E174:OFFSET(Table_ErrorList[[#Headers],[Section '#]],1,0,1,1),Table_ErrorList[[#This Row],[Section '#]]),"000")),Table_ErrorList[[#This Row],[Manual Hierarchy]])</f>
        <v>08-001</v>
      </c>
      <c r="E174" s="98">
        <v>8</v>
      </c>
      <c r="F174" s="98" t="str">
        <f>IFERROR(VLOOKUP(Table_ErrorList[[#This Row],[Section '#]],Table_SectionNames[],MATCH(Table_SectionNames[[#Headers],[Name]],Table_SectionNames[#Headers],0),FALSE),"Not found")</f>
        <v>Funding Maximum (if applicable)</v>
      </c>
      <c r="G174" s="98"/>
      <c r="H174" s="101" t="str">
        <f>IFERROR(VLOOKUP(Table_ErrorList[[#This Row],[Attention To Named Range]],Table_NamedRanges[],MATCH(Table_NamedRanges[[#Headers],[Reference Type]],Table_NamedRanges[#Headers],0),FALSE),"Error")</f>
        <v>Single Cell</v>
      </c>
      <c r="I174" s="96" t="s">
        <v>693</v>
      </c>
      <c r="J174" s="101" t="str">
        <f>IF(Table_ErrorList[[#This Row],[Manual Reference]]="",Table_ErrorList[[#This Row],[''Attention To'' Refence]],Table_ErrorList[[#This Row],[Manual Reference]])&amp;","</f>
        <v>$F$42,</v>
      </c>
      <c r="K174" s="101" t="str">
        <f>SUBSTITUTE(SUBSTITUTE(VLOOKUP(Table_ErrorList[[#This Row],[Attention To Named Range]],Table_NamedRanges[],MATCH(Table_NamedRanges[[#Headers],[Reference Text]],Table_NamedRanges[#Headers],0),FALSE),"=",""),"'Travel Expense Summary'!","")</f>
        <v>$F$42</v>
      </c>
      <c r="L174" s="101"/>
      <c r="M174" s="81"/>
      <c r="N174" s="81" t="s">
        <v>694</v>
      </c>
      <c r="O174" s="81" t="b">
        <v>1</v>
      </c>
      <c r="P174" s="100" t="s">
        <v>695</v>
      </c>
      <c r="Q174" s="100" t="s">
        <v>696</v>
      </c>
      <c r="R174" s="102" t="str">
        <f>CONCATENATE(Table_ErrorList[[#This Row],[Details Explanation (Line '#1)]],IF(Table_ErrorList[[#This Row],[Details Explanation (Line '#2)]]&lt;&gt;"",CHAR(10)&amp;Table_ErrorList[[#This Row],[Details Explanation (Line '#2)]],""))</f>
        <v>Enter an amount greater than zero.
Use a period ("100.00") as a decimal point as opposed to a comma ("100,00").</v>
      </c>
      <c r="S174" s="81" t="b">
        <v>1</v>
      </c>
      <c r="T174" s="81" t="str">
        <f>IF(LEN(Table_ErrorList[[#This Row],[Message Bar Display]])&gt;$U$5,"Too Long, Characters = "&amp;LEN(Table_ErrorList[[#This Row],[Message Bar Display]])," ")</f>
        <v xml:space="preserve"> </v>
      </c>
      <c r="U174" s="81" t="str">
        <f>IF(LEN(Table_ErrorList[[#This Row],[Details Explanation (Line '#1)]])&gt;$U$5,"Too Long, Characters = "&amp;LEN(Table_ErrorList[[#This Row],[Details Explanation (Line '#1)]])," ")</f>
        <v xml:space="preserve"> </v>
      </c>
      <c r="V174" s="81" t="str">
        <f>IF(LEN(Table_ErrorList[[#This Row],[Details Explanation (Line '#2)]])&gt;$U$5,"Too Long, Characters = "&amp;LEN(Table_ErrorList[[#This Row],[Details Explanation (Line '#2)]])," ")</f>
        <v xml:space="preserve"> </v>
      </c>
    </row>
    <row r="175" spans="1:22" s="30" customFormat="1" ht="30" x14ac:dyDescent="0.25">
      <c r="A175" s="101" t="b">
        <f ca="1">Field30_MaximumAmount&gt;Total_Eligible</f>
        <v>0</v>
      </c>
      <c r="B175" s="101">
        <f ca="1">IFERROR(INDIRECT(Table_ErrorList[[#This Row],[Attention To Named Range]]),"Error")</f>
        <v>0</v>
      </c>
      <c r="C175" s="96">
        <v>1797.1</v>
      </c>
      <c r="D175" s="96" t="str">
        <f ca="1">IF(Table_ErrorList[[#This Row],[Manual Hierarchy]]="",CONCATENATE(TEXT(Table_ErrorList[[#This Row],[Section '#]],"00"),"-",TEXT(COUNTIF($E175:OFFSET(Table_ErrorList[[#Headers],[Section '#]],1,0,1,1),Table_ErrorList[[#This Row],[Section '#]]),"000")),Table_ErrorList[[#This Row],[Manual Hierarchy]])</f>
        <v>08-002</v>
      </c>
      <c r="E175" s="98">
        <v>8</v>
      </c>
      <c r="F175" s="98" t="str">
        <f>IFERROR(VLOOKUP(Table_ErrorList[[#This Row],[Section '#]],Table_SectionNames[],MATCH(Table_SectionNames[[#Headers],[Name]],Table_SectionNames[#Headers],0),FALSE),"Not found")</f>
        <v>Funding Maximum (if applicable)</v>
      </c>
      <c r="G175" s="98"/>
      <c r="H175" s="101" t="str">
        <f>IFERROR(VLOOKUP(Table_ErrorList[[#This Row],[Attention To Named Range]],Table_NamedRanges[],MATCH(Table_NamedRanges[[#Headers],[Reference Type]],Table_NamedRanges[#Headers],0),FALSE),"Error")</f>
        <v>Single Cell</v>
      </c>
      <c r="I175" s="96" t="s">
        <v>693</v>
      </c>
      <c r="J175" s="101" t="str">
        <f>IF(Table_ErrorList[[#This Row],[Manual Reference]]="",Table_ErrorList[[#This Row],[''Attention To'' Refence]],Table_ErrorList[[#This Row],[Manual Reference]])&amp;","</f>
        <v>$F$42,</v>
      </c>
      <c r="K175" s="101" t="str">
        <f>SUBSTITUTE(SUBSTITUTE(VLOOKUP(Table_ErrorList[[#This Row],[Attention To Named Range]],Table_NamedRanges[],MATCH(Table_NamedRanges[[#Headers],[Reference Text]],Table_NamedRanges[#Headers],0),FALSE),"=",""),"'Travel Expense Summary'!","")</f>
        <v>$F$42</v>
      </c>
      <c r="L175" s="101"/>
      <c r="M175" s="81" t="s">
        <v>697</v>
      </c>
      <c r="N175" s="81" t="s">
        <v>698</v>
      </c>
      <c r="O175" s="81" t="b">
        <v>1</v>
      </c>
      <c r="P175" s="100" t="s">
        <v>699</v>
      </c>
      <c r="Q175" s="100"/>
      <c r="R175" s="102" t="str">
        <f>CONCATENATE(Table_ErrorList[[#This Row],[Details Explanation (Line '#1)]],IF(Table_ErrorList[[#This Row],[Details Explanation (Line '#2)]]&lt;&gt;"",CHAR(10)&amp;Table_ErrorList[[#This Row],[Details Explanation (Line '#2)]],""))</f>
        <v>Review the amount entered as the 'Funding Maximum Amount' and remove if it is not required.</v>
      </c>
      <c r="S175" s="81" t="b">
        <v>1</v>
      </c>
      <c r="T175" s="81" t="str">
        <f>IF(LEN(Table_ErrorList[[#This Row],[Message Bar Display]])&gt;$U$5,"Too Long, Characters = "&amp;LEN(Table_ErrorList[[#This Row],[Message Bar Display]])," ")</f>
        <v xml:space="preserve"> </v>
      </c>
      <c r="U175" s="81" t="str">
        <f>IF(LEN(Table_ErrorList[[#This Row],[Details Explanation (Line '#1)]])&gt;$U$5,"Too Long, Characters = "&amp;LEN(Table_ErrorList[[#This Row],[Details Explanation (Line '#1)]])," ")</f>
        <v xml:space="preserve"> </v>
      </c>
      <c r="V175" s="81" t="str">
        <f>IF(LEN(Table_ErrorList[[#This Row],[Details Explanation (Line '#2)]])&gt;$U$5,"Too Long, Characters = "&amp;LEN(Table_ErrorList[[#This Row],[Details Explanation (Line '#2)]])," ")</f>
        <v xml:space="preserve"> </v>
      </c>
    </row>
    <row r="176" spans="1:22" ht="30" x14ac:dyDescent="0.25">
      <c r="A176" s="101" t="b">
        <f>IF(COUNTA(Field30_MaximumAmount,Field31_MaximumReason)&gt;0,
IF(COUNTA(Field30_MaximumAmount)&gt;0,OR(ISBLANK(Table_ErrorList[[#This Row],[Relevant Cell Value]]),Table_ErrorList[[#This Row],[Relevant Cell Value]]=Dropdown_NotSelectedValue,Table_ErrorList[[#This Row],[Relevant Cell Value]]=0),FALSE),FALSE)</f>
        <v>0</v>
      </c>
      <c r="B176" s="101">
        <f ca="1">IFERROR(INDIRECT(Table_ErrorList[[#This Row],[Attention To Named Range]]),"Error")</f>
        <v>0</v>
      </c>
      <c r="C176" s="96">
        <v>1798</v>
      </c>
      <c r="D176" s="96" t="str">
        <f ca="1">IF(Table_ErrorList[[#This Row],[Manual Hierarchy]]="",CONCATENATE(TEXT(Table_ErrorList[[#This Row],[Section '#]],"00"),"-",TEXT(COUNTIF($E176:OFFSET(Table_ErrorList[[#Headers],[Section '#]],1,0,1,1),Table_ErrorList[[#This Row],[Section '#]]),"000")),Table_ErrorList[[#This Row],[Manual Hierarchy]])</f>
        <v>08-003</v>
      </c>
      <c r="E176" s="98">
        <v>8</v>
      </c>
      <c r="F176" s="98" t="str">
        <f>IFERROR(VLOOKUP(Table_ErrorList[[#This Row],[Section '#]],Table_SectionNames[],MATCH(Table_SectionNames[[#Headers],[Name]],Table_SectionNames[#Headers],0),FALSE),"Not found")</f>
        <v>Funding Maximum (if applicable)</v>
      </c>
      <c r="G176" s="98"/>
      <c r="H176" s="101" t="str">
        <f>IFERROR(VLOOKUP(Table_ErrorList[[#This Row],[Attention To Named Range]],Table_NamedRanges[],MATCH(Table_NamedRanges[[#Headers],[Reference Type]],Table_NamedRanges[#Headers],0),FALSE),"Error")</f>
        <v>Single Cell</v>
      </c>
      <c r="I176" s="96" t="s">
        <v>700</v>
      </c>
      <c r="J176" s="101" t="str">
        <f>IF(Table_ErrorList[[#This Row],[Manual Reference]]="",Table_ErrorList[[#This Row],[''Attention To'' Refence]],Table_ErrorList[[#This Row],[Manual Reference]])&amp;","</f>
        <v>$C$43,</v>
      </c>
      <c r="K176" s="101" t="str">
        <f>SUBSTITUTE(SUBSTITUTE(VLOOKUP(Table_ErrorList[[#This Row],[Attention To Named Range]],Table_NamedRanges[],MATCH(Table_NamedRanges[[#Headers],[Reference Text]],Table_NamedRanges[#Headers],0),FALSE),"=",""),"'Travel Expense Summary'!","")</f>
        <v>$C$43</v>
      </c>
      <c r="L176" s="101"/>
      <c r="M176" s="81"/>
      <c r="N176" s="81" t="s">
        <v>701</v>
      </c>
      <c r="O176" s="81" t="b">
        <v>1</v>
      </c>
      <c r="P176" s="100" t="s">
        <v>702</v>
      </c>
      <c r="Q176" s="100"/>
      <c r="R176" s="102" t="str">
        <f>CONCATENATE(Table_ErrorList[[#This Row],[Details Explanation (Line '#1)]],IF(Table_ErrorList[[#This Row],[Details Explanation (Line '#2)]]&lt;&gt;"",CHAR(10)&amp;Table_ErrorList[[#This Row],[Details Explanation (Line '#2)]],""))</f>
        <v xml:space="preserve">This is a free text field with an 80 character limit. </v>
      </c>
      <c r="S176" s="81" t="b">
        <v>1</v>
      </c>
      <c r="T176" s="81" t="str">
        <f>IF(LEN(Table_ErrorList[[#This Row],[Message Bar Display]])&gt;$U$5,"Too Long, Characters = "&amp;LEN(Table_ErrorList[[#This Row],[Message Bar Display]])," ")</f>
        <v xml:space="preserve"> </v>
      </c>
      <c r="U176" s="81" t="str">
        <f>IF(LEN(Table_ErrorList[[#This Row],[Details Explanation (Line '#1)]])&gt;$U$5,"Too Long, Characters = "&amp;LEN(Table_ErrorList[[#This Row],[Details Explanation (Line '#1)]])," ")</f>
        <v xml:space="preserve"> </v>
      </c>
      <c r="V176" s="81" t="str">
        <f>IF(LEN(Table_ErrorList[[#This Row],[Details Explanation (Line '#2)]])&gt;$U$5,"Too Long, Characters = "&amp;LEN(Table_ErrorList[[#This Row],[Details Explanation (Line '#2)]])," ")</f>
        <v xml:space="preserve"> </v>
      </c>
    </row>
    <row r="177" spans="1:22" s="30" customFormat="1" ht="30" x14ac:dyDescent="0.25">
      <c r="A177" s="101" t="b">
        <f>IFERROR(MODE(ClaimAllocation_GLArray)&gt;0,FALSE)</f>
        <v>0</v>
      </c>
      <c r="B177" s="101" t="str">
        <f ca="1">IFERROR(INDIRECT(Table_ErrorList[[#This Row],[Attention To Named Range]]),"Error")</f>
        <v>Error</v>
      </c>
      <c r="C177" s="96">
        <v>1799</v>
      </c>
      <c r="D177" s="96" t="str">
        <f ca="1">IF(Table_ErrorList[[#This Row],[Manual Hierarchy]]="",CONCATENATE(TEXT(Table_ErrorList[[#This Row],[Section '#]],"00"),"-",TEXT(COUNTIF($E177:OFFSET(Table_ErrorList[[#Headers],[Section '#]],1,0,1,1),Table_ErrorList[[#This Row],[Section '#]]),"000")),Table_ErrorList[[#This Row],[Manual Hierarchy]])</f>
        <v>10-001</v>
      </c>
      <c r="E177" s="98">
        <v>10</v>
      </c>
      <c r="F177" s="98" t="str">
        <f>IFERROR(VLOOKUP(Table_ErrorList[[#This Row],[Section '#]],Table_SectionNames[],MATCH(Table_SectionNames[[#Headers],[Name]],Table_SectionNames[#Headers],0),FALSE),"Not found")</f>
        <v>Claim Allocation</v>
      </c>
      <c r="G177" s="98"/>
      <c r="H177" s="101" t="str">
        <f>IFERROR(VLOOKUP(Table_ErrorList[[#This Row],[Attention To Named Range]],Table_NamedRanges[],MATCH(Table_NamedRanges[[#Headers],[Reference Type]],Table_NamedRanges[#Headers],0),FALSE),"Error")</f>
        <v>Single Range</v>
      </c>
      <c r="I177" s="96" t="s">
        <v>703</v>
      </c>
      <c r="J177" s="101" t="str">
        <f>IF(Table_ErrorList[[#This Row],[Manual Reference]]="",Table_ErrorList[[#This Row],[''Attention To'' Refence]],Table_ErrorList[[#This Row],[Manual Reference]])&amp;","</f>
        <v>$J$42,$J$43,$J$44,$J$45,</v>
      </c>
      <c r="K177" s="101" t="str">
        <f>SUBSTITUTE(SUBSTITUTE(VLOOKUP(Table_ErrorList[[#This Row],[Attention To Named Range]],Table_NamedRanges[],MATCH(Table_NamedRanges[[#Headers],[Reference Text]],Table_NamedRanges[#Headers],0),FALSE),"=",""),"'Travel Expense Summary'!","")</f>
        <v>$J$42:$L$45</v>
      </c>
      <c r="L177" s="101" t="s">
        <v>704</v>
      </c>
      <c r="M177" s="81" t="s">
        <v>705</v>
      </c>
      <c r="N177" s="81" t="s">
        <v>706</v>
      </c>
      <c r="O177" s="81" t="b">
        <v>1</v>
      </c>
      <c r="P177" s="100"/>
      <c r="Q177" s="100"/>
      <c r="R177" s="102" t="str">
        <f>CONCATENATE(Table_ErrorList[[#This Row],[Details Explanation (Line '#1)]],IF(Table_ErrorList[[#This Row],[Details Explanation (Line '#2)]]&lt;&gt;"",CHAR(10)&amp;Table_ErrorList[[#This Row],[Details Explanation (Line '#2)]],""))</f>
        <v/>
      </c>
      <c r="S177" s="81" t="b">
        <v>1</v>
      </c>
      <c r="T177" s="81" t="str">
        <f>IF(LEN(Table_ErrorList[[#This Row],[Message Bar Display]])&gt;$U$5,"Too Long, Characters = "&amp;LEN(Table_ErrorList[[#This Row],[Message Bar Display]])," ")</f>
        <v xml:space="preserve"> </v>
      </c>
      <c r="U177" s="81" t="str">
        <f>IF(LEN(Table_ErrorList[[#This Row],[Details Explanation (Line '#1)]])&gt;$U$5,"Too Long, Characters = "&amp;LEN(Table_ErrorList[[#This Row],[Details Explanation (Line '#1)]])," ")</f>
        <v xml:space="preserve"> </v>
      </c>
      <c r="V177" s="81" t="str">
        <f>IF(LEN(Table_ErrorList[[#This Row],[Details Explanation (Line '#2)]])&gt;$U$5,"Too Long, Characters = "&amp;LEN(Table_ErrorList[[#This Row],[Details Explanation (Line '#2)]])," ")</f>
        <v xml:space="preserve"> </v>
      </c>
    </row>
    <row r="178" spans="1:22" s="30" customFormat="1" ht="30" x14ac:dyDescent="0.25">
      <c r="A178" s="101" t="b">
        <f ca="1">SUM(ClaimAllocation_AmountArray)&lt;Total_Eligible</f>
        <v>1</v>
      </c>
      <c r="B178" s="101" t="str">
        <f ca="1">IFERROR(INDIRECT(Table_ErrorList[[#This Row],[Attention To Named Range]]),"Error")</f>
        <v>Error</v>
      </c>
      <c r="C178" s="96">
        <v>1900</v>
      </c>
      <c r="D178" s="96" t="str">
        <f ca="1">IF(Table_ErrorList[[#This Row],[Manual Hierarchy]]="",CONCATENATE(TEXT(Table_ErrorList[[#This Row],[Section '#]],"00"),"-",TEXT(COUNTIF($E178:OFFSET(Table_ErrorList[[#Headers],[Section '#]],1,0,1,1),Table_ErrorList[[#This Row],[Section '#]]),"000")),Table_ErrorList[[#This Row],[Manual Hierarchy]])</f>
        <v>10-002</v>
      </c>
      <c r="E178" s="98">
        <v>10</v>
      </c>
      <c r="F178" s="98" t="str">
        <f>IFERROR(VLOOKUP(Table_ErrorList[[#This Row],[Section '#]],Table_SectionNames[],MATCH(Table_SectionNames[[#Headers],[Name]],Table_SectionNames[#Headers],0),FALSE),"Not found")</f>
        <v>Claim Allocation</v>
      </c>
      <c r="G178" s="98"/>
      <c r="H178" s="101" t="str">
        <f>IFERROR(VLOOKUP(Table_ErrorList[[#This Row],[Attention To Named Range]],Table_NamedRanges[],MATCH(Table_NamedRanges[[#Headers],[Reference Type]],Table_NamedRanges[#Headers],0),FALSE),"Error")</f>
        <v>Multiple (Cell or Range)</v>
      </c>
      <c r="I178" s="96" t="s">
        <v>707</v>
      </c>
      <c r="J178" s="101" t="str">
        <f>IF(Table_ErrorList[[#This Row],[Manual Reference]]="",Table_ErrorList[[#This Row],[''Attention To'' Refence]],Table_ErrorList[[#This Row],[Manual Reference]])&amp;","</f>
        <v>$M$42,$M$43,$M$44,$M$45,</v>
      </c>
      <c r="K178" s="101" t="str">
        <f>SUBSTITUTE(SUBSTITUTE(VLOOKUP(Table_ErrorList[[#This Row],[Attention To Named Range]],Table_NamedRanges[],MATCH(Table_NamedRanges[[#Headers],[Reference Text]],Table_NamedRanges[#Headers],0),FALSE),"=",""),"'Travel Expense Summary'!","")</f>
        <v>$M$42,$M$43,$M$44,$M$45</v>
      </c>
      <c r="L178" s="101"/>
      <c r="M178" s="81" t="s">
        <v>708</v>
      </c>
      <c r="N178" s="81" t="s">
        <v>709</v>
      </c>
      <c r="O178" s="81" t="b">
        <v>1</v>
      </c>
      <c r="P178" s="100" t="s">
        <v>710</v>
      </c>
      <c r="Q178" s="115" t="str">
        <f ca="1">"Increase the 'Allocated Amounts' by "&amp;TEXT(ROUND(Total_Eligible-Total_ClaimAllocation,2),"$#,###.00")&amp;" to be a total of "&amp;TEXT(Total_Eligible,"$#,###.00")&amp;"."</f>
        <v>Increase the 'Allocated Amounts' by $680.18 to be a total of $680.18.</v>
      </c>
      <c r="R178" s="102" t="str">
        <f ca="1">CONCATENATE(Table_ErrorList[[#This Row],[Details Explanation (Line '#1)]],IF(Table_ErrorList[[#This Row],[Details Explanation (Line '#2)]]&lt;&gt;"",CHAR(10)&amp;Table_ErrorList[[#This Row],[Details Explanation (Line '#2)]],""))</f>
        <v>The 'Claim Allocation Amounts' are less than the 'Total Expenses Eligible'.
Increase the 'Allocated Amounts' by $680.18 to be a total of $680.18.</v>
      </c>
      <c r="S178" s="81" t="b">
        <v>1</v>
      </c>
      <c r="T178" s="81" t="str">
        <f>IF(LEN(Table_ErrorList[[#This Row],[Message Bar Display]])&gt;$U$5,"Too Long, Characters = "&amp;LEN(Table_ErrorList[[#This Row],[Message Bar Display]])," ")</f>
        <v xml:space="preserve"> </v>
      </c>
      <c r="U178" s="81" t="str">
        <f>IF(LEN(Table_ErrorList[[#This Row],[Details Explanation (Line '#1)]])&gt;$U$5,"Too Long, Characters = "&amp;LEN(Table_ErrorList[[#This Row],[Details Explanation (Line '#1)]])," ")</f>
        <v xml:space="preserve"> </v>
      </c>
      <c r="V178" s="81" t="str">
        <f ca="1">IF(LEN(Table_ErrorList[[#This Row],[Details Explanation (Line '#2)]])&gt;$U$5,"Too Long, Characters = "&amp;LEN(Table_ErrorList[[#This Row],[Details Explanation (Line '#2)]])," ")</f>
        <v xml:space="preserve"> </v>
      </c>
    </row>
    <row r="179" spans="1:22" ht="33.75" x14ac:dyDescent="0.25">
      <c r="A179" s="101" t="b">
        <f ca="1">SUM(ClaimAllocation_AmountArray)&gt;Total_Eligible</f>
        <v>0</v>
      </c>
      <c r="B179" s="101" t="str">
        <f ca="1">IFERROR(INDIRECT(Table_ErrorList[[#This Row],[Attention To Named Range]]),"Error")</f>
        <v>Error</v>
      </c>
      <c r="C179" s="96">
        <v>1901</v>
      </c>
      <c r="D179" s="96" t="str">
        <f ca="1">IF(Table_ErrorList[[#This Row],[Manual Hierarchy]]="",CONCATENATE(TEXT(Table_ErrorList[[#This Row],[Section '#]],"00"),"-",TEXT(COUNTIF($E179:OFFSET(Table_ErrorList[[#Headers],[Section '#]],1,0,1,1),Table_ErrorList[[#This Row],[Section '#]]),"000")),Table_ErrorList[[#This Row],[Manual Hierarchy]])</f>
        <v>10-003</v>
      </c>
      <c r="E179" s="98">
        <v>10</v>
      </c>
      <c r="F179" s="98" t="str">
        <f>IFERROR(VLOOKUP(Table_ErrorList[[#This Row],[Section '#]],Table_SectionNames[],MATCH(Table_SectionNames[[#Headers],[Name]],Table_SectionNames[#Headers],0),FALSE),"Not found")</f>
        <v>Claim Allocation</v>
      </c>
      <c r="G179" s="98"/>
      <c r="H179" s="101" t="str">
        <f>IFERROR(VLOOKUP(Table_ErrorList[[#This Row],[Attention To Named Range]],Table_NamedRanges[],MATCH(Table_NamedRanges[[#Headers],[Reference Type]],Table_NamedRanges[#Headers],0),FALSE),"Error")</f>
        <v>Multiple (Cell or Range)</v>
      </c>
      <c r="I179" s="96" t="s">
        <v>707</v>
      </c>
      <c r="J179" s="101" t="str">
        <f>IF(Table_ErrorList[[#This Row],[Manual Reference]]="",Table_ErrorList[[#This Row],[''Attention To'' Refence]],Table_ErrorList[[#This Row],[Manual Reference]])&amp;","</f>
        <v>$M$42,$M$43,$M$44,$M$45,</v>
      </c>
      <c r="K179" s="101" t="str">
        <f>SUBSTITUTE(SUBSTITUTE(VLOOKUP(Table_ErrorList[[#This Row],[Attention To Named Range]],Table_NamedRanges[],MATCH(Table_NamedRanges[[#Headers],[Reference Text]],Table_NamedRanges[#Headers],0),FALSE),"=",""),"'Travel Expense Summary'!","")</f>
        <v>$M$42,$M$43,$M$44,$M$45</v>
      </c>
      <c r="L179" s="101"/>
      <c r="M179" s="81" t="s">
        <v>711</v>
      </c>
      <c r="N179" s="81" t="s">
        <v>712</v>
      </c>
      <c r="O179" s="81" t="b">
        <v>1</v>
      </c>
      <c r="P179" s="100" t="s">
        <v>713</v>
      </c>
      <c r="Q179" s="115" t="str">
        <f ca="1">"Decrease the 'Allocated Amounts' by "&amp;TEXT(ROUND(Total_ClaimAllocation-Total_Eligible,2),"$#,###.00")&amp;" to be a total of "&amp;TEXT(Total_Eligible,"$#,###.00")&amp;"."</f>
        <v>Decrease the 'Allocated Amounts' by -$680.18 to be a total of $680.18.</v>
      </c>
      <c r="R179" s="102" t="str">
        <f ca="1">CONCATENATE(Table_ErrorList[[#This Row],[Details Explanation (Line '#1)]],IF(Table_ErrorList[[#This Row],[Details Explanation (Line '#2)]]&lt;&gt;"",CHAR(10)&amp;Table_ErrorList[[#This Row],[Details Explanation (Line '#2)]],""))</f>
        <v>The 'Claim Allocation Amounts' are greater than the 'Total Expenses Eligible'.
Decrease the 'Allocated Amounts' by -$680.18 to be a total of $680.18.</v>
      </c>
      <c r="S179" s="81" t="b">
        <v>1</v>
      </c>
      <c r="T179" s="81" t="str">
        <f>IF(LEN(Table_ErrorList[[#This Row],[Message Bar Display]])&gt;$U$5,"Too Long, Characters = "&amp;LEN(Table_ErrorList[[#This Row],[Message Bar Display]])," ")</f>
        <v xml:space="preserve"> </v>
      </c>
      <c r="U179" s="81" t="str">
        <f>IF(LEN(Table_ErrorList[[#This Row],[Details Explanation (Line '#1)]])&gt;$U$5,"Too Long, Characters = "&amp;LEN(Table_ErrorList[[#This Row],[Details Explanation (Line '#1)]])," ")</f>
        <v xml:space="preserve"> </v>
      </c>
      <c r="V179" s="81" t="str">
        <f ca="1">IF(LEN(Table_ErrorList[[#This Row],[Details Explanation (Line '#2)]])&gt;$U$5,"Too Long, Characters = "&amp;LEN(Table_ErrorList[[#This Row],[Details Explanation (Line '#2)]])," ")</f>
        <v xml:space="preserve"> </v>
      </c>
    </row>
    <row r="180" spans="1:22" ht="33.75" x14ac:dyDescent="0.25">
      <c r="A180" s="101" t="b">
        <f ca="1">AND(OR(ISBLANK(Table_ErrorList[[#This Row],[Relevant Cell Value]]),Table_ErrorList[[#This Row],[Relevant Cell Value]]=Dropdown_NotSelectedValue,Table_ErrorList[[#This Row],[Relevant Cell Value]]=0),OR(ClaimAllocation_Amount1&lt;&gt;0,ClaimAllocation_Amount1&lt;&gt;""))</f>
        <v>0</v>
      </c>
      <c r="B180" s="101">
        <f ca="1">IFERROR(INDIRECT(Table_ErrorList[[#This Row],[Attention To Named Range]]),"Error")</f>
        <v>0</v>
      </c>
      <c r="C180" s="96">
        <v>1800</v>
      </c>
      <c r="D180" s="96" t="str">
        <f ca="1">IF(Table_ErrorList[[#This Row],[Manual Hierarchy]]="",CONCATENATE(TEXT(Table_ErrorList[[#This Row],[Section '#]],"00"),"-",TEXT(COUNTIF($E180:OFFSET(Table_ErrorList[[#Headers],[Section '#]],1,0,1,1),Table_ErrorList[[#This Row],[Section '#]]),"000")),Table_ErrorList[[#This Row],[Manual Hierarchy]])</f>
        <v>10-004</v>
      </c>
      <c r="E180" s="98">
        <v>10</v>
      </c>
      <c r="F180" s="98" t="str">
        <f>IFERROR(VLOOKUP(Table_ErrorList[[#This Row],[Section '#]],Table_SectionNames[],MATCH(Table_SectionNames[[#Headers],[Name]],Table_SectionNames[#Headers],0),FALSE),"Not found")</f>
        <v>Claim Allocation</v>
      </c>
      <c r="G180" s="98"/>
      <c r="H180" s="101" t="str">
        <f>IFERROR(VLOOKUP(Table_ErrorList[[#This Row],[Attention To Named Range]],Table_NamedRanges[],MATCH(Table_NamedRanges[[#Headers],[Reference Type]],Table_NamedRanges[#Headers],0),FALSE),"Error")</f>
        <v>Single Cell</v>
      </c>
      <c r="I180" s="96" t="s">
        <v>714</v>
      </c>
      <c r="J180" s="101" t="str">
        <f>IF(Table_ErrorList[[#This Row],[Manual Reference]]="",Table_ErrorList[[#This Row],[''Attention To'' Refence]],Table_ErrorList[[#This Row],[Manual Reference]])&amp;","</f>
        <v>$J$42,</v>
      </c>
      <c r="K180" s="101" t="str">
        <f>SUBSTITUTE(SUBSTITUTE(VLOOKUP(Table_ErrorList[[#This Row],[Attention To Named Range]],Table_NamedRanges[],MATCH(Table_NamedRanges[[#Headers],[Reference Text]],Table_NamedRanges[#Headers],0),FALSE),"=",""),"'Travel Expense Summary'!","")</f>
        <v>$J$42</v>
      </c>
      <c r="L180" s="101"/>
      <c r="M180" s="81" t="s">
        <v>715</v>
      </c>
      <c r="N180" s="81" t="s">
        <v>716</v>
      </c>
      <c r="O180" s="81" t="b">
        <v>1</v>
      </c>
      <c r="P180" s="100" t="s">
        <v>717</v>
      </c>
      <c r="Q180" s="100" t="s">
        <v>718</v>
      </c>
      <c r="R180"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0" s="81" t="b">
        <v>1</v>
      </c>
      <c r="T180" s="81" t="str">
        <f>IF(LEN(Table_ErrorList[[#This Row],[Message Bar Display]])&gt;$U$5,"Too Long, Characters = "&amp;LEN(Table_ErrorList[[#This Row],[Message Bar Display]])," ")</f>
        <v xml:space="preserve"> </v>
      </c>
      <c r="U180" s="81" t="str">
        <f>IF(LEN(Table_ErrorList[[#This Row],[Details Explanation (Line '#1)]])&gt;$U$5,"Too Long, Characters = "&amp;LEN(Table_ErrorList[[#This Row],[Details Explanation (Line '#1)]])," ")</f>
        <v xml:space="preserve"> </v>
      </c>
      <c r="V180" s="81" t="str">
        <f>IF(LEN(Table_ErrorList[[#This Row],[Details Explanation (Line '#2)]])&gt;$U$5,"Too Long, Characters = "&amp;LEN(Table_ErrorList[[#This Row],[Details Explanation (Line '#2)]])," ")</f>
        <v xml:space="preserve"> </v>
      </c>
    </row>
    <row r="181" spans="1:22" ht="33.75" x14ac:dyDescent="0.25">
      <c r="A181" s="101" t="b">
        <f ca="1">AND(OR(ISBLANK(Table_ErrorList[[#This Row],[Relevant Cell Value]]),Table_ErrorList[[#This Row],[Relevant Cell Value]]=Dropdown_NotSelectedValue,Table_ErrorList[[#This Row],[Relevant Cell Value]]=0),OR(ClaimAllocation_Amount2&lt;&gt;0,ClaimAllocation_Amount2&lt;&gt;""))</f>
        <v>0</v>
      </c>
      <c r="B181" s="101">
        <f ca="1">IFERROR(INDIRECT(Table_ErrorList[[#This Row],[Attention To Named Range]]),"Error")</f>
        <v>0</v>
      </c>
      <c r="C181" s="96">
        <v>1820</v>
      </c>
      <c r="D181" s="96" t="str">
        <f ca="1">IF(Table_ErrorList[[#This Row],[Manual Hierarchy]]="",CONCATENATE(TEXT(Table_ErrorList[[#This Row],[Section '#]],"00"),"-",TEXT(COUNTIF($E181:OFFSET(Table_ErrorList[[#Headers],[Section '#]],1,0,1,1),Table_ErrorList[[#This Row],[Section '#]]),"000")),Table_ErrorList[[#This Row],[Manual Hierarchy]])</f>
        <v>10-005</v>
      </c>
      <c r="E181" s="98">
        <v>10</v>
      </c>
      <c r="F181" s="98" t="str">
        <f>IFERROR(VLOOKUP(Table_ErrorList[[#This Row],[Section '#]],Table_SectionNames[],MATCH(Table_SectionNames[[#Headers],[Name]],Table_SectionNames[#Headers],0),FALSE),"Not found")</f>
        <v>Claim Allocation</v>
      </c>
      <c r="G181" s="98"/>
      <c r="H181" s="101" t="str">
        <f>IFERROR(VLOOKUP(Table_ErrorList[[#This Row],[Attention To Named Range]],Table_NamedRanges[],MATCH(Table_NamedRanges[[#Headers],[Reference Type]],Table_NamedRanges[#Headers],0),FALSE),"Error")</f>
        <v>Single Cell</v>
      </c>
      <c r="I181" s="96" t="s">
        <v>719</v>
      </c>
      <c r="J181" s="101" t="str">
        <f>IF(Table_ErrorList[[#This Row],[Manual Reference]]="",Table_ErrorList[[#This Row],[''Attention To'' Refence]],Table_ErrorList[[#This Row],[Manual Reference]])&amp;","</f>
        <v>$J$43,</v>
      </c>
      <c r="K181" s="101" t="str">
        <f>SUBSTITUTE(SUBSTITUTE(VLOOKUP(Table_ErrorList[[#This Row],[Attention To Named Range]],Table_NamedRanges[],MATCH(Table_NamedRanges[[#Headers],[Reference Text]],Table_NamedRanges[#Headers],0),FALSE),"=",""),"'Travel Expense Summary'!","")</f>
        <v>$J$43</v>
      </c>
      <c r="L181" s="101"/>
      <c r="M181" s="81" t="s">
        <v>720</v>
      </c>
      <c r="N181" s="81" t="s">
        <v>721</v>
      </c>
      <c r="O181" s="81" t="b">
        <v>1</v>
      </c>
      <c r="P181" s="100" t="s">
        <v>717</v>
      </c>
      <c r="Q181" s="100" t="s">
        <v>718</v>
      </c>
      <c r="R181"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1" s="81" t="b">
        <v>1</v>
      </c>
      <c r="T181" s="81" t="str">
        <f>IF(LEN(Table_ErrorList[[#This Row],[Message Bar Display]])&gt;$U$5,"Too Long, Characters = "&amp;LEN(Table_ErrorList[[#This Row],[Message Bar Display]])," ")</f>
        <v xml:space="preserve"> </v>
      </c>
      <c r="U181" s="81" t="str">
        <f>IF(LEN(Table_ErrorList[[#This Row],[Details Explanation (Line '#1)]])&gt;$U$5,"Too Long, Characters = "&amp;LEN(Table_ErrorList[[#This Row],[Details Explanation (Line '#1)]])," ")</f>
        <v xml:space="preserve"> </v>
      </c>
      <c r="V181" s="81" t="str">
        <f>IF(LEN(Table_ErrorList[[#This Row],[Details Explanation (Line '#2)]])&gt;$U$5,"Too Long, Characters = "&amp;LEN(Table_ErrorList[[#This Row],[Details Explanation (Line '#2)]])," ")</f>
        <v xml:space="preserve"> </v>
      </c>
    </row>
    <row r="182" spans="1:22" ht="33.75" x14ac:dyDescent="0.25">
      <c r="A182" s="101" t="b">
        <f ca="1">AND(OR(ISBLANK(Table_ErrorList[[#This Row],[Relevant Cell Value]]),Table_ErrorList[[#This Row],[Relevant Cell Value]]=Dropdown_NotSelectedValue,Table_ErrorList[[#This Row],[Relevant Cell Value]]=0),OR(ClaimAllocation_Amount3&lt;&gt;0,ClaimAllocation_Amount3&lt;&gt;""))</f>
        <v>0</v>
      </c>
      <c r="B182" s="101">
        <f ca="1">IFERROR(INDIRECT(Table_ErrorList[[#This Row],[Attention To Named Range]]),"Error")</f>
        <v>0</v>
      </c>
      <c r="C182" s="96">
        <v>1840</v>
      </c>
      <c r="D182" s="96" t="str">
        <f ca="1">IF(Table_ErrorList[[#This Row],[Manual Hierarchy]]="",CONCATENATE(TEXT(Table_ErrorList[[#This Row],[Section '#]],"00"),"-",TEXT(COUNTIF($E182:OFFSET(Table_ErrorList[[#Headers],[Section '#]],1,0,1,1),Table_ErrorList[[#This Row],[Section '#]]),"000")),Table_ErrorList[[#This Row],[Manual Hierarchy]])</f>
        <v>10-006</v>
      </c>
      <c r="E182" s="98">
        <v>10</v>
      </c>
      <c r="F182" s="98" t="str">
        <f>IFERROR(VLOOKUP(Table_ErrorList[[#This Row],[Section '#]],Table_SectionNames[],MATCH(Table_SectionNames[[#Headers],[Name]],Table_SectionNames[#Headers],0),FALSE),"Not found")</f>
        <v>Claim Allocation</v>
      </c>
      <c r="G182" s="98"/>
      <c r="H182" s="101" t="str">
        <f>IFERROR(VLOOKUP(Table_ErrorList[[#This Row],[Attention To Named Range]],Table_NamedRanges[],MATCH(Table_NamedRanges[[#Headers],[Reference Type]],Table_NamedRanges[#Headers],0),FALSE),"Error")</f>
        <v>Single Cell</v>
      </c>
      <c r="I182" s="96" t="s">
        <v>722</v>
      </c>
      <c r="J182" s="101" t="str">
        <f>IF(Table_ErrorList[[#This Row],[Manual Reference]]="",Table_ErrorList[[#This Row],[''Attention To'' Refence]],Table_ErrorList[[#This Row],[Manual Reference]])&amp;","</f>
        <v>$J$44,</v>
      </c>
      <c r="K182" s="101" t="str">
        <f>SUBSTITUTE(SUBSTITUTE(VLOOKUP(Table_ErrorList[[#This Row],[Attention To Named Range]],Table_NamedRanges[],MATCH(Table_NamedRanges[[#Headers],[Reference Text]],Table_NamedRanges[#Headers],0),FALSE),"=",""),"'Travel Expense Summary'!","")</f>
        <v>$J$44</v>
      </c>
      <c r="L182" s="101"/>
      <c r="M182" s="81" t="s">
        <v>723</v>
      </c>
      <c r="N182" s="81" t="s">
        <v>724</v>
      </c>
      <c r="O182" s="81" t="b">
        <v>1</v>
      </c>
      <c r="P182" s="100" t="s">
        <v>717</v>
      </c>
      <c r="Q182" s="100" t="s">
        <v>718</v>
      </c>
      <c r="R182"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2" s="81" t="b">
        <v>1</v>
      </c>
      <c r="T182" s="81" t="str">
        <f>IF(LEN(Table_ErrorList[[#This Row],[Message Bar Display]])&gt;$U$5,"Too Long, Characters = "&amp;LEN(Table_ErrorList[[#This Row],[Message Bar Display]])," ")</f>
        <v xml:space="preserve"> </v>
      </c>
      <c r="U182" s="81" t="str">
        <f>IF(LEN(Table_ErrorList[[#This Row],[Details Explanation (Line '#1)]])&gt;$U$5,"Too Long, Characters = "&amp;LEN(Table_ErrorList[[#This Row],[Details Explanation (Line '#1)]])," ")</f>
        <v xml:space="preserve"> </v>
      </c>
      <c r="V182" s="81" t="str">
        <f>IF(LEN(Table_ErrorList[[#This Row],[Details Explanation (Line '#2)]])&gt;$U$5,"Too Long, Characters = "&amp;LEN(Table_ErrorList[[#This Row],[Details Explanation (Line '#2)]])," ")</f>
        <v xml:space="preserve"> </v>
      </c>
    </row>
    <row r="183" spans="1:22" ht="33.75" x14ac:dyDescent="0.25">
      <c r="A183" s="101" t="b">
        <f ca="1">AND(OR(ISBLANK(Table_ErrorList[[#This Row],[Relevant Cell Value]]),Table_ErrorList[[#This Row],[Relevant Cell Value]]=Dropdown_NotSelectedValue,Table_ErrorList[[#This Row],[Relevant Cell Value]]=0),OR(ClaimAllocation_Amount4&lt;&gt;0,ClaimAllocation_Amount4&lt;&gt;""))</f>
        <v>0</v>
      </c>
      <c r="B183" s="101">
        <f ca="1">IFERROR(INDIRECT(Table_ErrorList[[#This Row],[Attention To Named Range]]),"Error")</f>
        <v>0</v>
      </c>
      <c r="C183" s="96">
        <v>1860</v>
      </c>
      <c r="D183" s="96" t="str">
        <f ca="1">IF(Table_ErrorList[[#This Row],[Manual Hierarchy]]="",CONCATENATE(TEXT(Table_ErrorList[[#This Row],[Section '#]],"00"),"-",TEXT(COUNTIF($E183:OFFSET(Table_ErrorList[[#Headers],[Section '#]],1,0,1,1),Table_ErrorList[[#This Row],[Section '#]]),"000")),Table_ErrorList[[#This Row],[Manual Hierarchy]])</f>
        <v>10-007</v>
      </c>
      <c r="E183" s="98">
        <v>10</v>
      </c>
      <c r="F183" s="98" t="str">
        <f>IFERROR(VLOOKUP(Table_ErrorList[[#This Row],[Section '#]],Table_SectionNames[],MATCH(Table_SectionNames[[#Headers],[Name]],Table_SectionNames[#Headers],0),FALSE),"Not found")</f>
        <v>Claim Allocation</v>
      </c>
      <c r="G183" s="98"/>
      <c r="H183" s="101" t="str">
        <f>IFERROR(VLOOKUP(Table_ErrorList[[#This Row],[Attention To Named Range]],Table_NamedRanges[],MATCH(Table_NamedRanges[[#Headers],[Reference Type]],Table_NamedRanges[#Headers],0),FALSE),"Error")</f>
        <v>Single Cell</v>
      </c>
      <c r="I183" s="96" t="s">
        <v>725</v>
      </c>
      <c r="J183" s="101" t="str">
        <f>IF(Table_ErrorList[[#This Row],[Manual Reference]]="",Table_ErrorList[[#This Row],[''Attention To'' Refence]],Table_ErrorList[[#This Row],[Manual Reference]])&amp;","</f>
        <v>$J$45,</v>
      </c>
      <c r="K183" s="101" t="str">
        <f>SUBSTITUTE(SUBSTITUTE(VLOOKUP(Table_ErrorList[[#This Row],[Attention To Named Range]],Table_NamedRanges[],MATCH(Table_NamedRanges[[#Headers],[Reference Text]],Table_NamedRanges[#Headers],0),FALSE),"=",""),"'Travel Expense Summary'!","")</f>
        <v>$J$45</v>
      </c>
      <c r="L183" s="101"/>
      <c r="M183" s="81" t="s">
        <v>726</v>
      </c>
      <c r="N183" s="81" t="s">
        <v>727</v>
      </c>
      <c r="O183" s="81" t="b">
        <v>1</v>
      </c>
      <c r="P183" s="100" t="s">
        <v>717</v>
      </c>
      <c r="Q183" s="100" t="s">
        <v>718</v>
      </c>
      <c r="R183"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3" s="81" t="b">
        <v>1</v>
      </c>
      <c r="T183" s="81" t="str">
        <f>IF(LEN(Table_ErrorList[[#This Row],[Message Bar Display]])&gt;$U$5,"Too Long, Characters = "&amp;LEN(Table_ErrorList[[#This Row],[Message Bar Display]])," ")</f>
        <v xml:space="preserve"> </v>
      </c>
      <c r="U183" s="81" t="str">
        <f>IF(LEN(Table_ErrorList[[#This Row],[Details Explanation (Line '#1)]])&gt;$U$5,"Too Long, Characters = "&amp;LEN(Table_ErrorList[[#This Row],[Details Explanation (Line '#1)]])," ")</f>
        <v xml:space="preserve"> </v>
      </c>
      <c r="V183" s="81" t="str">
        <f>IF(LEN(Table_ErrorList[[#This Row],[Details Explanation (Line '#2)]])&gt;$U$5,"Too Long, Characters = "&amp;LEN(Table_ErrorList[[#This Row],[Details Explanation (Line '#2)]])," ")</f>
        <v xml:space="preserve"> </v>
      </c>
    </row>
    <row r="184" spans="1:22" ht="33.75" x14ac:dyDescent="0.25">
      <c r="A184" s="109" t="b">
        <f ca="1">COUNTIF(OFFSET(Error_OffsetRef,0,0,ROWS(Table_ErrorList[])-1,1),TRUE)=0</f>
        <v>0</v>
      </c>
      <c r="B184" s="109" t="str">
        <f ca="1">IFERROR(INDIRECT(Table_ErrorList[[#This Row],[Attention To Named Range]]),"Error")</f>
        <v>Error</v>
      </c>
      <c r="C184" s="110">
        <v>99999</v>
      </c>
      <c r="D184" s="110" t="str">
        <f ca="1">IF(Table_ErrorList[[#This Row],[Manual Hierarchy]]="",CONCATENATE(TEXT(Table_ErrorList[[#This Row],[Section '#]],"00"),"-",TEXT(COUNTIF($E184:OFFSET(Table_ErrorList[[#Headers],[Section '#]],1,0,1,1),Table_ErrorList[[#This Row],[Section '#]]),"000")),Table_ErrorList[[#This Row],[Manual Hierarchy]])</f>
        <v>11-999</v>
      </c>
      <c r="E184" s="111">
        <v>99</v>
      </c>
      <c r="F184" s="111" t="str">
        <f>IFERROR(VLOOKUP(Table_ErrorList[[#This Row],[Section '#]],Table_SectionNames[],MATCH(Table_SectionNames[[#Headers],[Name]],Table_SectionNames[#Headers],0),FALSE),"Not found")</f>
        <v>Milestone #2</v>
      </c>
      <c r="G184" s="111" t="s">
        <v>728</v>
      </c>
      <c r="H184" s="109" t="str">
        <f>IFERROR(VLOOKUP(Table_ErrorList[[#This Row],[Attention To Named Range]],Table_NamedRanges[],MATCH(Table_NamedRanges[[#Headers],[Reference Type]],Table_NamedRanges[#Headers],0),FALSE),"Error")</f>
        <v>Error</v>
      </c>
      <c r="I184" s="110" t="s">
        <v>729</v>
      </c>
      <c r="J184" s="109" t="e">
        <f>IF(Table_ErrorList[[#This Row],[Manual Reference]]="",Table_ErrorList[[#This Row],[''Attention To'' Refence]],Table_ErrorList[[#This Row],[Manual Reference]])&amp;","</f>
        <v>#N/A</v>
      </c>
      <c r="K184" s="109" t="e">
        <f>SUBSTITUTE(SUBSTITUTE(VLOOKUP(Table_ErrorList[[#This Row],[Attention To Named Range]],Table_NamedRanges[],MATCH(Table_NamedRanges[[#Headers],[Reference Text]],Table_NamedRanges[#Headers],0),FALSE),"=",""),"'Travel Expense Summary'!","")</f>
        <v>#N/A</v>
      </c>
      <c r="L184" s="109"/>
      <c r="M184" s="112" t="s">
        <v>730</v>
      </c>
      <c r="N184" s="120" t="s">
        <v>731</v>
      </c>
      <c r="O184" s="112" t="b">
        <v>0</v>
      </c>
      <c r="P184" s="113" t="str">
        <f ca="1">"This claim has successfully included "&amp;TEXT(Total_Eligible,"$#,##0.00")&amp;"."</f>
        <v>This claim has successfully included $680.18.</v>
      </c>
      <c r="Q184" s="113" t="s">
        <v>732</v>
      </c>
      <c r="R184" s="114" t="str">
        <f ca="1">CONCATENATE(Table_ErrorList[[#This Row],[Details Explanation (Line '#1)]],IF(Table_ErrorList[[#This Row],[Details Explanation (Line '#2)]]&lt;&gt;"",CHAR(10)&amp;Table_ErrorList[[#This Row],[Details Explanation (Line '#2)]],""))</f>
        <v>This claim has successfully included $680.18.
Save as a 'PDF' or print and forward to the appropriate approver before directing to NOSM Accounts Payable.</v>
      </c>
      <c r="S184" s="112" t="b">
        <v>0</v>
      </c>
      <c r="T184" s="81" t="str">
        <f>IF(LEN(Table_ErrorList[[#This Row],[Message Bar Display]])&gt;$U$5,"Too Long, Characters = "&amp;LEN(Table_ErrorList[[#This Row],[Message Bar Display]])," ")</f>
        <v xml:space="preserve"> </v>
      </c>
      <c r="U184" s="81" t="str">
        <f ca="1">IF(LEN(Table_ErrorList[[#This Row],[Details Explanation (Line '#1)]])&gt;$U$5,"Too Long, Characters = "&amp;LEN(Table_ErrorList[[#This Row],[Details Explanation (Line '#1)]])," ")</f>
        <v xml:space="preserve"> </v>
      </c>
      <c r="V184" s="81" t="str">
        <f>IF(LEN(Table_ErrorList[[#This Row],[Details Explanation (Line '#2)]])&gt;$U$5,"Too Long, Characters = "&amp;LEN(Table_ErrorList[[#This Row],[Details Explanation (Line '#2)]])," ")</f>
        <v xml:space="preserve"> </v>
      </c>
    </row>
  </sheetData>
  <sheetProtection password="EDC4" sheet="1" objects="1" scenarios="1" selectLockedCells="1" selectUnlockedCells="1"/>
  <dataValidations count="1">
    <dataValidation type="list" allowBlank="1" showInputMessage="1" showErrorMessage="1" sqref="E7:E183" xr:uid="{00000000-0002-0000-0200-000000000000}">
      <formula1>Dropdown_SEctionNum</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K217"/>
  <sheetViews>
    <sheetView workbookViewId="0">
      <selection activeCell="B4" sqref="B4"/>
    </sheetView>
  </sheetViews>
  <sheetFormatPr defaultRowHeight="15" x14ac:dyDescent="0.25"/>
  <cols>
    <col min="1" max="1" width="2.85546875" customWidth="1"/>
    <col min="2" max="2" width="39.140625" customWidth="1"/>
    <col min="3" max="3" width="47.5703125" customWidth="1"/>
    <col min="4" max="4" width="24.85546875" style="30" customWidth="1"/>
    <col min="5" max="5" width="54.85546875" customWidth="1"/>
    <col min="6" max="6" width="25.85546875" customWidth="1"/>
    <col min="7" max="7" width="17.85546875" customWidth="1"/>
    <col min="8" max="8" width="19.7109375" customWidth="1"/>
    <col min="9" max="9" width="17.5703125" bestFit="1" customWidth="1"/>
    <col min="10" max="10" width="15.7109375" customWidth="1"/>
    <col min="11" max="11" width="23.5703125" customWidth="1"/>
    <col min="12" max="12" width="17.28515625" bestFit="1" customWidth="1"/>
  </cols>
  <sheetData>
    <row r="1" spans="2:11" ht="31.5" x14ac:dyDescent="0.5">
      <c r="B1" s="24" t="s">
        <v>733</v>
      </c>
      <c r="C1" s="30"/>
      <c r="E1" s="30"/>
      <c r="F1" s="30" t="s">
        <v>734</v>
      </c>
      <c r="G1" s="30"/>
      <c r="H1" s="30"/>
      <c r="I1" s="30"/>
      <c r="J1" s="30"/>
      <c r="K1" s="30"/>
    </row>
    <row r="2" spans="2:11" x14ac:dyDescent="0.25">
      <c r="B2" s="30"/>
      <c r="C2" s="30"/>
      <c r="D2" s="30" t="s">
        <v>184</v>
      </c>
      <c r="E2" s="30" t="s">
        <v>735</v>
      </c>
      <c r="F2" s="22" t="s">
        <v>735</v>
      </c>
      <c r="G2" s="22"/>
      <c r="H2" s="22"/>
      <c r="I2" s="22"/>
      <c r="J2" s="22"/>
      <c r="K2" s="22" t="s">
        <v>735</v>
      </c>
    </row>
    <row r="3" spans="2:11" x14ac:dyDescent="0.25">
      <c r="B3" s="58" t="s">
        <v>736</v>
      </c>
      <c r="C3" s="58" t="s">
        <v>737</v>
      </c>
      <c r="D3" s="30" t="s">
        <v>170</v>
      </c>
      <c r="E3" s="30" t="s">
        <v>738</v>
      </c>
      <c r="F3" s="23" t="s">
        <v>739</v>
      </c>
      <c r="G3" s="30" t="s">
        <v>740</v>
      </c>
      <c r="H3" s="30" t="s">
        <v>741</v>
      </c>
      <c r="I3" s="30" t="s">
        <v>742</v>
      </c>
      <c r="J3" s="30" t="s">
        <v>743</v>
      </c>
      <c r="K3" s="23" t="s">
        <v>744</v>
      </c>
    </row>
    <row r="4" spans="2:11" x14ac:dyDescent="0.25">
      <c r="B4" s="6" t="s">
        <v>682</v>
      </c>
      <c r="C4" s="6" t="s">
        <v>745</v>
      </c>
      <c r="D4" s="8">
        <f ca="1">IFERROR(INDIRECT(Table_NamedRanges[[#This Row],[Named Range Paste]]),"Undefined/Error")</f>
        <v>43636</v>
      </c>
      <c r="E4" s="8" t="str">
        <f>Table_NamedRanges[[#This Row],[Reference Paste]]</f>
        <v>='Travel Expense Summary'!$U$43</v>
      </c>
      <c r="F4" s="8" t="b">
        <f ca="1">ISERROR(VLOOKUP(Table_NamedRanges[[#This Row],[Named Range Paste]],OFFSET(INDEX(Table_ErrorList[],1,1),0,MATCH(Table_ErrorList[[#Headers],[Attention To Named Range]],Table_ErrorList[#Headers],0)-1,ROWS(Table_ErrorList[]),1),1,FALSE))=FALSE</f>
        <v>1</v>
      </c>
      <c r="G4" s="6" t="b">
        <f>MID(Table_NamedRanges[[#This Row],[Reference Text]],2,1)="'"</f>
        <v>1</v>
      </c>
      <c r="H4" s="6">
        <f>(LEN(Table_NamedRanges[[#This Row],[Reference Text]])-LEN(SUBSTITUTE(Table_NamedRanges[[#This Row],[Reference Text]],":","")))/LEN(":")</f>
        <v>0</v>
      </c>
      <c r="I4" s="6" t="b">
        <f>OR(ISERROR(FIND("[",Table_NamedRanges[[#This Row],[Reference Text]],1))=FALSE,ISERROR(FIND("]",Table_NamedRanges[[#This Row],[Reference Text]],1))=FALSE)</f>
        <v>0</v>
      </c>
      <c r="J4" s="6">
        <f>(LEN(Table_NamedRanges[[#This Row],[Reference Text]])-LEN(SUBSTITUTE(Table_NamedRanges[[#This Row],[Reference Text]],",","")))/LEN(",")</f>
        <v>0</v>
      </c>
      <c r="K4" s="6" t="str">
        <f>IF(Table_NamedRanges[[#This Row],[Starts with '']]=FALSE,"Other",IF(AND(Table_NamedRanges[[#This Row],[Count of Colon ":"]]=0,Table_NamedRanges[[#This Row],[Count of ","]]=0),"Single Cell",IF(Table_NamedRanges[[#This Row],[Count of Colon ":"]]=1,"Single Range", "Multiple (Cell or Range)")))</f>
        <v>Single Cell</v>
      </c>
    </row>
    <row r="5" spans="2:11" x14ac:dyDescent="0.25">
      <c r="B5" s="6" t="s">
        <v>746</v>
      </c>
      <c r="C5" s="8" t="s">
        <v>747</v>
      </c>
      <c r="D5" s="18">
        <f ca="1">IFERROR(INDIRECT(Table_NamedRanges[[#This Row],[Named Range Paste]]),"Undefined/Error")</f>
        <v>0</v>
      </c>
      <c r="E5" s="18" t="str">
        <f>Table_NamedRanges[[#This Row],[Reference Paste]]</f>
        <v>='Travel Expense Summary'!$M$42</v>
      </c>
      <c r="F5" s="18" t="b">
        <f ca="1">ISERROR(VLOOKUP(Table_NamedRanges[[#This Row],[Named Range Paste]],OFFSET(INDEX(Table_ErrorList[],1,1),0,MATCH(Table_ErrorList[[#Headers],[Attention To Named Range]],Table_ErrorList[#Headers],0)-1,ROWS(Table_ErrorList[]),1),1,FALSE))=FALSE</f>
        <v>0</v>
      </c>
      <c r="G5" s="20" t="b">
        <f>MID(Table_NamedRanges[[#This Row],[Reference Text]],2,1)="'"</f>
        <v>1</v>
      </c>
      <c r="H5" s="20">
        <f>(LEN(Table_NamedRanges[[#This Row],[Reference Text]])-LEN(SUBSTITUTE(Table_NamedRanges[[#This Row],[Reference Text]],":","")))/LEN(":")</f>
        <v>0</v>
      </c>
      <c r="I5" s="20" t="b">
        <f>OR(ISERROR(FIND("[",Table_NamedRanges[[#This Row],[Reference Text]],1))=FALSE,ISERROR(FIND("]",Table_NamedRanges[[#This Row],[Reference Text]],1))=FALSE)</f>
        <v>0</v>
      </c>
      <c r="J5" s="20">
        <f>(LEN(Table_NamedRanges[[#This Row],[Reference Text]])-LEN(SUBSTITUTE(Table_NamedRanges[[#This Row],[Reference Text]],",","")))/LEN(",")</f>
        <v>0</v>
      </c>
      <c r="K5" s="20" t="str">
        <f>IF(Table_NamedRanges[[#This Row],[Starts with '']]=FALSE,"Other",IF(AND(Table_NamedRanges[[#This Row],[Count of Colon ":"]]=0,Table_NamedRanges[[#This Row],[Count of ","]]=0),"Single Cell",IF(Table_NamedRanges[[#This Row],[Count of Colon ":"]]=1,"Single Range", "Multiple (Cell or Range)")))</f>
        <v>Single Cell</v>
      </c>
    </row>
    <row r="6" spans="2:11" x14ac:dyDescent="0.25">
      <c r="B6" s="6" t="s">
        <v>748</v>
      </c>
      <c r="C6" s="8" t="s">
        <v>749</v>
      </c>
      <c r="D6" s="18">
        <f ca="1">IFERROR(INDIRECT(Table_NamedRanges[[#This Row],[Named Range Paste]]),"Undefined/Error")</f>
        <v>0</v>
      </c>
      <c r="E6" s="18" t="str">
        <f>Table_NamedRanges[[#This Row],[Reference Paste]]</f>
        <v>='Travel Expense Summary'!$M$43</v>
      </c>
      <c r="F6" s="18" t="b">
        <f ca="1">ISERROR(VLOOKUP(Table_NamedRanges[[#This Row],[Named Range Paste]],OFFSET(INDEX(Table_ErrorList[],1,1),0,MATCH(Table_ErrorList[[#Headers],[Attention To Named Range]],Table_ErrorList[#Headers],0)-1,ROWS(Table_ErrorList[]),1),1,FALSE))=FALSE</f>
        <v>0</v>
      </c>
      <c r="G6" s="20" t="b">
        <f>MID(Table_NamedRanges[[#This Row],[Reference Text]],2,1)="'"</f>
        <v>1</v>
      </c>
      <c r="H6" s="20">
        <f>(LEN(Table_NamedRanges[[#This Row],[Reference Text]])-LEN(SUBSTITUTE(Table_NamedRanges[[#This Row],[Reference Text]],":","")))/LEN(":")</f>
        <v>0</v>
      </c>
      <c r="I6" s="20" t="b">
        <f>OR(ISERROR(FIND("[",Table_NamedRanges[[#This Row],[Reference Text]],1))=FALSE,ISERROR(FIND("]",Table_NamedRanges[[#This Row],[Reference Text]],1))=FALSE)</f>
        <v>0</v>
      </c>
      <c r="J6" s="20">
        <f>(LEN(Table_NamedRanges[[#This Row],[Reference Text]])-LEN(SUBSTITUTE(Table_NamedRanges[[#This Row],[Reference Text]],",","")))/LEN(",")</f>
        <v>0</v>
      </c>
      <c r="K6" s="20" t="str">
        <f>IF(Table_NamedRanges[[#This Row],[Starts with '']]=FALSE,"Other",IF(AND(Table_NamedRanges[[#This Row],[Count of Colon ":"]]=0,Table_NamedRanges[[#This Row],[Count of ","]]=0),"Single Cell",IF(Table_NamedRanges[[#This Row],[Count of Colon ":"]]=1,"Single Range", "Multiple (Cell or Range)")))</f>
        <v>Single Cell</v>
      </c>
    </row>
    <row r="7" spans="2:11" x14ac:dyDescent="0.25">
      <c r="B7" s="6" t="s">
        <v>750</v>
      </c>
      <c r="C7" s="8" t="s">
        <v>751</v>
      </c>
      <c r="D7" s="18">
        <f ca="1">IFERROR(INDIRECT(Table_NamedRanges[[#This Row],[Named Range Paste]]),"Undefined/Error")</f>
        <v>0</v>
      </c>
      <c r="E7" s="18" t="str">
        <f>Table_NamedRanges[[#This Row],[Reference Paste]]</f>
        <v>='Travel Expense Summary'!$M$44</v>
      </c>
      <c r="F7" s="18" t="b">
        <f ca="1">ISERROR(VLOOKUP(Table_NamedRanges[[#This Row],[Named Range Paste]],OFFSET(INDEX(Table_ErrorList[],1,1),0,MATCH(Table_ErrorList[[#Headers],[Attention To Named Range]],Table_ErrorList[#Headers],0)-1,ROWS(Table_ErrorList[]),1),1,FALSE))=FALSE</f>
        <v>0</v>
      </c>
      <c r="G7" s="20" t="b">
        <f>MID(Table_NamedRanges[[#This Row],[Reference Text]],2,1)="'"</f>
        <v>1</v>
      </c>
      <c r="H7" s="20">
        <f>(LEN(Table_NamedRanges[[#This Row],[Reference Text]])-LEN(SUBSTITUTE(Table_NamedRanges[[#This Row],[Reference Text]],":","")))/LEN(":")</f>
        <v>0</v>
      </c>
      <c r="I7" s="20" t="b">
        <f>OR(ISERROR(FIND("[",Table_NamedRanges[[#This Row],[Reference Text]],1))=FALSE,ISERROR(FIND("]",Table_NamedRanges[[#This Row],[Reference Text]],1))=FALSE)</f>
        <v>0</v>
      </c>
      <c r="J7" s="20">
        <f>(LEN(Table_NamedRanges[[#This Row],[Reference Text]])-LEN(SUBSTITUTE(Table_NamedRanges[[#This Row],[Reference Text]],",","")))/LEN(",")</f>
        <v>0</v>
      </c>
      <c r="K7" s="20" t="str">
        <f>IF(Table_NamedRanges[[#This Row],[Starts with '']]=FALSE,"Other",IF(AND(Table_NamedRanges[[#This Row],[Count of Colon ":"]]=0,Table_NamedRanges[[#This Row],[Count of ","]]=0),"Single Cell",IF(Table_NamedRanges[[#This Row],[Count of Colon ":"]]=1,"Single Range", "Multiple (Cell or Range)")))</f>
        <v>Single Cell</v>
      </c>
    </row>
    <row r="8" spans="2:11" x14ac:dyDescent="0.25">
      <c r="B8" s="6" t="s">
        <v>752</v>
      </c>
      <c r="C8" s="8" t="s">
        <v>753</v>
      </c>
      <c r="D8" s="18">
        <f ca="1">IFERROR(INDIRECT(Table_NamedRanges[[#This Row],[Named Range Paste]]),"Undefined/Error")</f>
        <v>0</v>
      </c>
      <c r="E8" s="18" t="str">
        <f>Table_NamedRanges[[#This Row],[Reference Paste]]</f>
        <v>='Travel Expense Summary'!$M$45</v>
      </c>
      <c r="F8" s="18" t="b">
        <f ca="1">ISERROR(VLOOKUP(Table_NamedRanges[[#This Row],[Named Range Paste]],OFFSET(INDEX(Table_ErrorList[],1,1),0,MATCH(Table_ErrorList[[#Headers],[Attention To Named Range]],Table_ErrorList[#Headers],0)-1,ROWS(Table_ErrorList[]),1),1,FALSE))=FALSE</f>
        <v>0</v>
      </c>
      <c r="G8" s="20" t="b">
        <f>MID(Table_NamedRanges[[#This Row],[Reference Text]],2,1)="'"</f>
        <v>1</v>
      </c>
      <c r="H8" s="20">
        <f>(LEN(Table_NamedRanges[[#This Row],[Reference Text]])-LEN(SUBSTITUTE(Table_NamedRanges[[#This Row],[Reference Text]],":","")))/LEN(":")</f>
        <v>0</v>
      </c>
      <c r="I8" s="20" t="b">
        <f>OR(ISERROR(FIND("[",Table_NamedRanges[[#This Row],[Reference Text]],1))=FALSE,ISERROR(FIND("]",Table_NamedRanges[[#This Row],[Reference Text]],1))=FALSE)</f>
        <v>0</v>
      </c>
      <c r="J8" s="20">
        <f>(LEN(Table_NamedRanges[[#This Row],[Reference Text]])-LEN(SUBSTITUTE(Table_NamedRanges[[#This Row],[Reference Text]],",","")))/LEN(",")</f>
        <v>0</v>
      </c>
      <c r="K8" s="20" t="str">
        <f>IF(Table_NamedRanges[[#This Row],[Starts with '']]=FALSE,"Other",IF(AND(Table_NamedRanges[[#This Row],[Count of Colon ":"]]=0,Table_NamedRanges[[#This Row],[Count of ","]]=0),"Single Cell",IF(Table_NamedRanges[[#This Row],[Count of Colon ":"]]=1,"Single Range", "Multiple (Cell or Range)")))</f>
        <v>Single Cell</v>
      </c>
    </row>
    <row r="9" spans="2:11" ht="45" x14ac:dyDescent="0.25">
      <c r="B9" s="6" t="s">
        <v>707</v>
      </c>
      <c r="C9" s="8" t="s">
        <v>754</v>
      </c>
      <c r="D9" s="18" t="str">
        <f ca="1">IFERROR(INDIRECT(Table_NamedRanges[[#This Row],[Named Range Paste]]),"Undefined/Error")</f>
        <v>Undefined/Error</v>
      </c>
      <c r="E9" s="18" t="str">
        <f>Table_NamedRanges[[#This Row],[Reference Paste]]</f>
        <v>='Travel Expense Summary'!$M$42,'Travel Expense Summary'!$M$43,'Travel Expense Summary'!$M$44,'Travel Expense Summary'!$M$45</v>
      </c>
      <c r="F9" s="18" t="b">
        <f ca="1">ISERROR(VLOOKUP(Table_NamedRanges[[#This Row],[Named Range Paste]],OFFSET(INDEX(Table_ErrorList[],1,1),0,MATCH(Table_ErrorList[[#Headers],[Attention To Named Range]],Table_ErrorList[#Headers],0)-1,ROWS(Table_ErrorList[]),1),1,FALSE))=FALSE</f>
        <v>1</v>
      </c>
      <c r="G9" s="20" t="b">
        <f>MID(Table_NamedRanges[[#This Row],[Reference Text]],2,1)="'"</f>
        <v>1</v>
      </c>
      <c r="H9" s="20">
        <f>(LEN(Table_NamedRanges[[#This Row],[Reference Text]])-LEN(SUBSTITUTE(Table_NamedRanges[[#This Row],[Reference Text]],":","")))/LEN(":")</f>
        <v>0</v>
      </c>
      <c r="I9" s="20" t="b">
        <f>OR(ISERROR(FIND("[",Table_NamedRanges[[#This Row],[Reference Text]],1))=FALSE,ISERROR(FIND("]",Table_NamedRanges[[#This Row],[Reference Text]],1))=FALSE)</f>
        <v>0</v>
      </c>
      <c r="J9" s="20">
        <f>(LEN(Table_NamedRanges[[#This Row],[Reference Text]])-LEN(SUBSTITUTE(Table_NamedRanges[[#This Row],[Reference Text]],",","")))/LEN(",")</f>
        <v>3</v>
      </c>
      <c r="K9" s="20" t="str">
        <f>IF(Table_NamedRanges[[#This Row],[Starts with '']]=FALSE,"Other",IF(AND(Table_NamedRanges[[#This Row],[Count of Colon ":"]]=0,Table_NamedRanges[[#This Row],[Count of ","]]=0),"Single Cell",IF(Table_NamedRanges[[#This Row],[Count of Colon ":"]]=1,"Single Range", "Multiple (Cell or Range)")))</f>
        <v>Multiple (Cell or Range)</v>
      </c>
    </row>
    <row r="10" spans="2:11" x14ac:dyDescent="0.25">
      <c r="B10" s="6" t="s">
        <v>714</v>
      </c>
      <c r="C10" s="8" t="s">
        <v>755</v>
      </c>
      <c r="D10" s="18">
        <f ca="1">IFERROR(INDIRECT(Table_NamedRanges[[#This Row],[Named Range Paste]]),"Undefined/Error")</f>
        <v>0</v>
      </c>
      <c r="E10" s="18" t="str">
        <f>Table_NamedRanges[[#This Row],[Reference Paste]]</f>
        <v>='Travel Expense Summary'!$J$42</v>
      </c>
      <c r="F10" s="18" t="b">
        <f ca="1">ISERROR(VLOOKUP(Table_NamedRanges[[#This Row],[Named Range Paste]],OFFSET(INDEX(Table_ErrorList[],1,1),0,MATCH(Table_ErrorList[[#Headers],[Attention To Named Range]],Table_ErrorList[#Headers],0)-1,ROWS(Table_ErrorList[]),1),1,FALSE))=FALSE</f>
        <v>1</v>
      </c>
      <c r="G10" s="20" t="b">
        <f>MID(Table_NamedRanges[[#This Row],[Reference Text]],2,1)="'"</f>
        <v>1</v>
      </c>
      <c r="H10" s="20">
        <f>(LEN(Table_NamedRanges[[#This Row],[Reference Text]])-LEN(SUBSTITUTE(Table_NamedRanges[[#This Row],[Reference Text]],":","")))/LEN(":")</f>
        <v>0</v>
      </c>
      <c r="I10" s="20" t="b">
        <f>OR(ISERROR(FIND("[",Table_NamedRanges[[#This Row],[Reference Text]],1))=FALSE,ISERROR(FIND("]",Table_NamedRanges[[#This Row],[Reference Text]],1))=FALSE)</f>
        <v>0</v>
      </c>
      <c r="J10" s="20">
        <f>(LEN(Table_NamedRanges[[#This Row],[Reference Text]])-LEN(SUBSTITUTE(Table_NamedRanges[[#This Row],[Reference Text]],",","")))/LEN(",")</f>
        <v>0</v>
      </c>
      <c r="K10" s="20" t="str">
        <f>IF(Table_NamedRanges[[#This Row],[Starts with '']]=FALSE,"Other",IF(AND(Table_NamedRanges[[#This Row],[Count of Colon ":"]]=0,Table_NamedRanges[[#This Row],[Count of ","]]=0),"Single Cell",IF(Table_NamedRanges[[#This Row],[Count of Colon ":"]]=1,"Single Range", "Multiple (Cell or Range)")))</f>
        <v>Single Cell</v>
      </c>
    </row>
    <row r="11" spans="2:11" x14ac:dyDescent="0.25">
      <c r="B11" s="6" t="s">
        <v>719</v>
      </c>
      <c r="C11" s="8" t="s">
        <v>756</v>
      </c>
      <c r="D11" s="18">
        <f ca="1">IFERROR(INDIRECT(Table_NamedRanges[[#This Row],[Named Range Paste]]),"Undefined/Error")</f>
        <v>0</v>
      </c>
      <c r="E11" s="18" t="str">
        <f>Table_NamedRanges[[#This Row],[Reference Paste]]</f>
        <v>='Travel Expense Summary'!$J$43</v>
      </c>
      <c r="F11" s="18" t="b">
        <f ca="1">ISERROR(VLOOKUP(Table_NamedRanges[[#This Row],[Named Range Paste]],OFFSET(INDEX(Table_ErrorList[],1,1),0,MATCH(Table_ErrorList[[#Headers],[Attention To Named Range]],Table_ErrorList[#Headers],0)-1,ROWS(Table_ErrorList[]),1),1,FALSE))=FALSE</f>
        <v>1</v>
      </c>
      <c r="G11" s="20" t="b">
        <f>MID(Table_NamedRanges[[#This Row],[Reference Text]],2,1)="'"</f>
        <v>1</v>
      </c>
      <c r="H11" s="20">
        <f>(LEN(Table_NamedRanges[[#This Row],[Reference Text]])-LEN(SUBSTITUTE(Table_NamedRanges[[#This Row],[Reference Text]],":","")))/LEN(":")</f>
        <v>0</v>
      </c>
      <c r="I11" s="20" t="b">
        <f>OR(ISERROR(FIND("[",Table_NamedRanges[[#This Row],[Reference Text]],1))=FALSE,ISERROR(FIND("]",Table_NamedRanges[[#This Row],[Reference Text]],1))=FALSE)</f>
        <v>0</v>
      </c>
      <c r="J11" s="20">
        <f>(LEN(Table_NamedRanges[[#This Row],[Reference Text]])-LEN(SUBSTITUTE(Table_NamedRanges[[#This Row],[Reference Text]],",","")))/LEN(",")</f>
        <v>0</v>
      </c>
      <c r="K11" s="20" t="str">
        <f>IF(Table_NamedRanges[[#This Row],[Starts with '']]=FALSE,"Other",IF(AND(Table_NamedRanges[[#This Row],[Count of Colon ":"]]=0,Table_NamedRanges[[#This Row],[Count of ","]]=0),"Single Cell",IF(Table_NamedRanges[[#This Row],[Count of Colon ":"]]=1,"Single Range", "Multiple (Cell or Range)")))</f>
        <v>Single Cell</v>
      </c>
    </row>
    <row r="12" spans="2:11" x14ac:dyDescent="0.25">
      <c r="B12" s="6" t="s">
        <v>722</v>
      </c>
      <c r="C12" s="8" t="s">
        <v>757</v>
      </c>
      <c r="D12" s="18">
        <f ca="1">IFERROR(INDIRECT(Table_NamedRanges[[#This Row],[Named Range Paste]]),"Undefined/Error")</f>
        <v>0</v>
      </c>
      <c r="E12" s="18" t="str">
        <f>Table_NamedRanges[[#This Row],[Reference Paste]]</f>
        <v>='Travel Expense Summary'!$J$44</v>
      </c>
      <c r="F12" s="18" t="b">
        <f ca="1">ISERROR(VLOOKUP(Table_NamedRanges[[#This Row],[Named Range Paste]],OFFSET(INDEX(Table_ErrorList[],1,1),0,MATCH(Table_ErrorList[[#Headers],[Attention To Named Range]],Table_ErrorList[#Headers],0)-1,ROWS(Table_ErrorList[]),1),1,FALSE))=FALSE</f>
        <v>1</v>
      </c>
      <c r="G12" s="20" t="b">
        <f>MID(Table_NamedRanges[[#This Row],[Reference Text]],2,1)="'"</f>
        <v>1</v>
      </c>
      <c r="H12" s="20">
        <f>(LEN(Table_NamedRanges[[#This Row],[Reference Text]])-LEN(SUBSTITUTE(Table_NamedRanges[[#This Row],[Reference Text]],":","")))/LEN(":")</f>
        <v>0</v>
      </c>
      <c r="I12" s="20" t="b">
        <f>OR(ISERROR(FIND("[",Table_NamedRanges[[#This Row],[Reference Text]],1))=FALSE,ISERROR(FIND("]",Table_NamedRanges[[#This Row],[Reference Text]],1))=FALSE)</f>
        <v>0</v>
      </c>
      <c r="J12" s="20">
        <f>(LEN(Table_NamedRanges[[#This Row],[Reference Text]])-LEN(SUBSTITUTE(Table_NamedRanges[[#This Row],[Reference Text]],",","")))/LEN(",")</f>
        <v>0</v>
      </c>
      <c r="K12" s="20" t="str">
        <f>IF(Table_NamedRanges[[#This Row],[Starts with '']]=FALSE,"Other",IF(AND(Table_NamedRanges[[#This Row],[Count of Colon ":"]]=0,Table_NamedRanges[[#This Row],[Count of ","]]=0),"Single Cell",IF(Table_NamedRanges[[#This Row],[Count of Colon ":"]]=1,"Single Range", "Multiple (Cell or Range)")))</f>
        <v>Single Cell</v>
      </c>
    </row>
    <row r="13" spans="2:11" x14ac:dyDescent="0.25">
      <c r="B13" s="6" t="s">
        <v>725</v>
      </c>
      <c r="C13" s="8" t="s">
        <v>758</v>
      </c>
      <c r="D13" s="18">
        <f ca="1">IFERROR(INDIRECT(Table_NamedRanges[[#This Row],[Named Range Paste]]),"Undefined/Error")</f>
        <v>0</v>
      </c>
      <c r="E13" s="18" t="str">
        <f>Table_NamedRanges[[#This Row],[Reference Paste]]</f>
        <v>='Travel Expense Summary'!$J$45</v>
      </c>
      <c r="F13" s="18" t="b">
        <f ca="1">ISERROR(VLOOKUP(Table_NamedRanges[[#This Row],[Named Range Paste]],OFFSET(INDEX(Table_ErrorList[],1,1),0,MATCH(Table_ErrorList[[#Headers],[Attention To Named Range]],Table_ErrorList[#Headers],0)-1,ROWS(Table_ErrorList[]),1),1,FALSE))=FALSE</f>
        <v>1</v>
      </c>
      <c r="G13" s="20" t="b">
        <f>MID(Table_NamedRanges[[#This Row],[Reference Text]],2,1)="'"</f>
        <v>1</v>
      </c>
      <c r="H13" s="20">
        <f>(LEN(Table_NamedRanges[[#This Row],[Reference Text]])-LEN(SUBSTITUTE(Table_NamedRanges[[#This Row],[Reference Text]],":","")))/LEN(":")</f>
        <v>0</v>
      </c>
      <c r="I13" s="20" t="b">
        <f>OR(ISERROR(FIND("[",Table_NamedRanges[[#This Row],[Reference Text]],1))=FALSE,ISERROR(FIND("]",Table_NamedRanges[[#This Row],[Reference Text]],1))=FALSE)</f>
        <v>0</v>
      </c>
      <c r="J13" s="20">
        <f>(LEN(Table_NamedRanges[[#This Row],[Reference Text]])-LEN(SUBSTITUTE(Table_NamedRanges[[#This Row],[Reference Text]],",","")))/LEN(",")</f>
        <v>0</v>
      </c>
      <c r="K13" s="20" t="str">
        <f>IF(Table_NamedRanges[[#This Row],[Starts with '']]=FALSE,"Other",IF(AND(Table_NamedRanges[[#This Row],[Count of Colon ":"]]=0,Table_NamedRanges[[#This Row],[Count of ","]]=0),"Single Cell",IF(Table_NamedRanges[[#This Row],[Count of Colon ":"]]=1,"Single Range", "Multiple (Cell or Range)")))</f>
        <v>Single Cell</v>
      </c>
    </row>
    <row r="14" spans="2:11" x14ac:dyDescent="0.25">
      <c r="B14" s="6" t="s">
        <v>703</v>
      </c>
      <c r="C14" s="8" t="s">
        <v>759</v>
      </c>
      <c r="D14" s="18" t="str">
        <f ca="1">IFERROR(INDIRECT(Table_NamedRanges[[#This Row],[Named Range Paste]]),"Undefined/Error")</f>
        <v>Undefined/Error</v>
      </c>
      <c r="E14" s="18" t="str">
        <f>Table_NamedRanges[[#This Row],[Reference Paste]]</f>
        <v>='Travel Expense Summary'!$J$42:$L$45</v>
      </c>
      <c r="F14" s="18" t="b">
        <f ca="1">ISERROR(VLOOKUP(Table_NamedRanges[[#This Row],[Named Range Paste]],OFFSET(INDEX(Table_ErrorList[],1,1),0,MATCH(Table_ErrorList[[#Headers],[Attention To Named Range]],Table_ErrorList[#Headers],0)-1,ROWS(Table_ErrorList[]),1),1,FALSE))=FALSE</f>
        <v>1</v>
      </c>
      <c r="G14" s="20" t="b">
        <f>MID(Table_NamedRanges[[#This Row],[Reference Text]],2,1)="'"</f>
        <v>1</v>
      </c>
      <c r="H14" s="20">
        <f>(LEN(Table_NamedRanges[[#This Row],[Reference Text]])-LEN(SUBSTITUTE(Table_NamedRanges[[#This Row],[Reference Text]],":","")))/LEN(":")</f>
        <v>1</v>
      </c>
      <c r="I14" s="20" t="b">
        <f>OR(ISERROR(FIND("[",Table_NamedRanges[[#This Row],[Reference Text]],1))=FALSE,ISERROR(FIND("]",Table_NamedRanges[[#This Row],[Reference Text]],1))=FALSE)</f>
        <v>0</v>
      </c>
      <c r="J14" s="20">
        <f>(LEN(Table_NamedRanges[[#This Row],[Reference Text]])-LEN(SUBSTITUTE(Table_NamedRanges[[#This Row],[Reference Text]],",","")))/LEN(",")</f>
        <v>0</v>
      </c>
      <c r="K14" s="20" t="str">
        <f>IF(Table_NamedRanges[[#This Row],[Starts with '']]=FALSE,"Other",IF(AND(Table_NamedRanges[[#This Row],[Count of Colon ":"]]=0,Table_NamedRanges[[#This Row],[Count of ","]]=0),"Single Cell",IF(Table_NamedRanges[[#This Row],[Count of Colon ":"]]=1,"Single Range", "Multiple (Cell or Range)")))</f>
        <v>Single Range</v>
      </c>
    </row>
    <row r="15" spans="2:11" x14ac:dyDescent="0.25">
      <c r="B15" s="6" t="s">
        <v>760</v>
      </c>
      <c r="C15" s="8" t="s">
        <v>761</v>
      </c>
      <c r="D15" s="18">
        <f ca="1">IFERROR(INDIRECT(Table_NamedRanges[[#This Row],[Named Range Paste]]),"Undefined/Error")</f>
        <v>0</v>
      </c>
      <c r="E15" s="18" t="str">
        <f>Table_NamedRanges[[#This Row],[Reference Paste]]</f>
        <v>='Travel Expense Summary'!$AE$24</v>
      </c>
      <c r="F15" s="18" t="b">
        <f ca="1">ISERROR(VLOOKUP(Table_NamedRanges[[#This Row],[Named Range Paste]],OFFSET(INDEX(Table_ErrorList[],1,1),0,MATCH(Table_ErrorList[[#Headers],[Attention To Named Range]],Table_ErrorList[#Headers],0)-1,ROWS(Table_ErrorList[]),1),1,FALSE))=FALSE</f>
        <v>0</v>
      </c>
      <c r="G15" s="20" t="b">
        <f>MID(Table_NamedRanges[[#This Row],[Reference Text]],2,1)="'"</f>
        <v>1</v>
      </c>
      <c r="H15" s="20">
        <f>(LEN(Table_NamedRanges[[#This Row],[Reference Text]])-LEN(SUBSTITUTE(Table_NamedRanges[[#This Row],[Reference Text]],":","")))/LEN(":")</f>
        <v>0</v>
      </c>
      <c r="I15" s="20" t="b">
        <f>OR(ISERROR(FIND("[",Table_NamedRanges[[#This Row],[Reference Text]],1))=FALSE,ISERROR(FIND("]",Table_NamedRanges[[#This Row],[Reference Text]],1))=FALSE)</f>
        <v>0</v>
      </c>
      <c r="J15" s="20">
        <f>(LEN(Table_NamedRanges[[#This Row],[Reference Text]])-LEN(SUBSTITUTE(Table_NamedRanges[[#This Row],[Reference Text]],",","")))/LEN(",")</f>
        <v>0</v>
      </c>
      <c r="K15" s="20" t="str">
        <f>IF(Table_NamedRanges[[#This Row],[Starts with '']]=FALSE,"Other",IF(AND(Table_NamedRanges[[#This Row],[Count of Colon ":"]]=0,Table_NamedRanges[[#This Row],[Count of ","]]=0),"Single Cell",IF(Table_NamedRanges[[#This Row],[Count of Colon ":"]]=1,"Single Range", "Multiple (Cell or Range)")))</f>
        <v>Single Cell</v>
      </c>
    </row>
    <row r="16" spans="2:11" x14ac:dyDescent="0.25">
      <c r="B16" s="6" t="s">
        <v>762</v>
      </c>
      <c r="C16" s="8" t="s">
        <v>763</v>
      </c>
      <c r="D16" s="18">
        <f ca="1">IFERROR(INDIRECT(Table_NamedRanges[[#This Row],[Named Range Paste]]),"Undefined/Error")</f>
        <v>0.42</v>
      </c>
      <c r="E16" s="18" t="str">
        <f>Table_NamedRanges[[#This Row],[Reference Paste]]</f>
        <v>='Particulars Validation'!$Z$4</v>
      </c>
      <c r="F16" s="18" t="b">
        <f ca="1">ISERROR(VLOOKUP(Table_NamedRanges[[#This Row],[Named Range Paste]],OFFSET(INDEX(Table_ErrorList[],1,1),0,MATCH(Table_ErrorList[[#Headers],[Attention To Named Range]],Table_ErrorList[#Headers],0)-1,ROWS(Table_ErrorList[]),1),1,FALSE))=FALSE</f>
        <v>0</v>
      </c>
      <c r="G16" s="20" t="b">
        <f>MID(Table_NamedRanges[[#This Row],[Reference Text]],2,1)="'"</f>
        <v>1</v>
      </c>
      <c r="H16" s="20">
        <f>(LEN(Table_NamedRanges[[#This Row],[Reference Text]])-LEN(SUBSTITUTE(Table_NamedRanges[[#This Row],[Reference Text]],":","")))/LEN(":")</f>
        <v>0</v>
      </c>
      <c r="I16" s="20" t="b">
        <f>OR(ISERROR(FIND("[",Table_NamedRanges[[#This Row],[Reference Text]],1))=FALSE,ISERROR(FIND("]",Table_NamedRanges[[#This Row],[Reference Text]],1))=FALSE)</f>
        <v>0</v>
      </c>
      <c r="J16" s="20">
        <f>(LEN(Table_NamedRanges[[#This Row],[Reference Text]])-LEN(SUBSTITUTE(Table_NamedRanges[[#This Row],[Reference Text]],",","")))/LEN(",")</f>
        <v>0</v>
      </c>
      <c r="K16" s="20" t="str">
        <f>IF(Table_NamedRanges[[#This Row],[Starts with '']]=FALSE,"Other",IF(AND(Table_NamedRanges[[#This Row],[Count of Colon ":"]]=0,Table_NamedRanges[[#This Row],[Count of ","]]=0),"Single Cell",IF(Table_NamedRanges[[#This Row],[Count of Colon ":"]]=1,"Single Range", "Multiple (Cell or Range)")))</f>
        <v>Single Cell</v>
      </c>
    </row>
    <row r="17" spans="2:11" x14ac:dyDescent="0.25">
      <c r="B17" s="6" t="s">
        <v>764</v>
      </c>
      <c r="C17" s="8" t="s">
        <v>765</v>
      </c>
      <c r="D17" s="18" t="str">
        <f ca="1">IFERROR(INDIRECT(Table_NamedRanges[[#This Row],[Named Range Paste]]),"Undefined/Error")</f>
        <v>Undefined/Error</v>
      </c>
      <c r="E17" s="18" t="str">
        <f>Table_NamedRanges[[#This Row],[Reference Paste]]</f>
        <v>=Table_AddressType[Address Type]</v>
      </c>
      <c r="F17" s="18" t="b">
        <f ca="1">ISERROR(VLOOKUP(Table_NamedRanges[[#This Row],[Named Range Paste]],OFFSET(INDEX(Table_ErrorList[],1,1),0,MATCH(Table_ErrorList[[#Headers],[Attention To Named Range]],Table_ErrorList[#Headers],0)-1,ROWS(Table_ErrorList[]),1),1,FALSE))=FALSE</f>
        <v>0</v>
      </c>
      <c r="G17" s="20" t="b">
        <f>MID(Table_NamedRanges[[#This Row],[Reference Text]],2,1)="'"</f>
        <v>0</v>
      </c>
      <c r="H17" s="20">
        <f>(LEN(Table_NamedRanges[[#This Row],[Reference Text]])-LEN(SUBSTITUTE(Table_NamedRanges[[#This Row],[Reference Text]],":","")))/LEN(":")</f>
        <v>0</v>
      </c>
      <c r="I17" s="20" t="b">
        <f>OR(ISERROR(FIND("[",Table_NamedRanges[[#This Row],[Reference Text]],1))=FALSE,ISERROR(FIND("]",Table_NamedRanges[[#This Row],[Reference Text]],1))=FALSE)</f>
        <v>1</v>
      </c>
      <c r="J17" s="20">
        <f>(LEN(Table_NamedRanges[[#This Row],[Reference Text]])-LEN(SUBSTITUTE(Table_NamedRanges[[#This Row],[Reference Text]],",","")))/LEN(",")</f>
        <v>0</v>
      </c>
      <c r="K17" s="20" t="str">
        <f>IF(Table_NamedRanges[[#This Row],[Starts with '']]=FALSE,"Other",IF(AND(Table_NamedRanges[[#This Row],[Count of Colon ":"]]=0,Table_NamedRanges[[#This Row],[Count of ","]]=0),"Single Cell",IF(Table_NamedRanges[[#This Row],[Count of Colon ":"]]=1,"Single Range", "Multiple (Cell or Range)")))</f>
        <v>Other</v>
      </c>
    </row>
    <row r="18" spans="2:11" x14ac:dyDescent="0.25">
      <c r="B18" s="6" t="s">
        <v>766</v>
      </c>
      <c r="C18" s="8" t="s">
        <v>767</v>
      </c>
      <c r="D18" s="18" t="str">
        <f ca="1">IFERROR(INDIRECT(Table_NamedRanges[[#This Row],[Named Range Paste]]),"Undefined/Error")</f>
        <v>Undefined/Error</v>
      </c>
      <c r="E18" s="18" t="str">
        <f>Table_NamedRanges[[#This Row],[Reference Paste]]</f>
        <v>=Table_ClaimType[Claim Type]</v>
      </c>
      <c r="F18" s="18" t="b">
        <f ca="1">ISERROR(VLOOKUP(Table_NamedRanges[[#This Row],[Named Range Paste]],OFFSET(INDEX(Table_ErrorList[],1,1),0,MATCH(Table_ErrorList[[#Headers],[Attention To Named Range]],Table_ErrorList[#Headers],0)-1,ROWS(Table_ErrorList[]),1),1,FALSE))=FALSE</f>
        <v>0</v>
      </c>
      <c r="G18" s="20" t="b">
        <f>MID(Table_NamedRanges[[#This Row],[Reference Text]],2,1)="'"</f>
        <v>0</v>
      </c>
      <c r="H18" s="20">
        <f>(LEN(Table_NamedRanges[[#This Row],[Reference Text]])-LEN(SUBSTITUTE(Table_NamedRanges[[#This Row],[Reference Text]],":","")))/LEN(":")</f>
        <v>0</v>
      </c>
      <c r="I18" s="20" t="b">
        <f>OR(ISERROR(FIND("[",Table_NamedRanges[[#This Row],[Reference Text]],1))=FALSE,ISERROR(FIND("]",Table_NamedRanges[[#This Row],[Reference Text]],1))=FALSE)</f>
        <v>1</v>
      </c>
      <c r="J18" s="20">
        <f>(LEN(Table_NamedRanges[[#This Row],[Reference Text]])-LEN(SUBSTITUTE(Table_NamedRanges[[#This Row],[Reference Text]],",","")))/LEN(",")</f>
        <v>0</v>
      </c>
      <c r="K18" s="20" t="str">
        <f>IF(Table_NamedRanges[[#This Row],[Starts with '']]=FALSE,"Other",IF(AND(Table_NamedRanges[[#This Row],[Count of Colon ":"]]=0,Table_NamedRanges[[#This Row],[Count of ","]]=0),"Single Cell",IF(Table_NamedRanges[[#This Row],[Count of Colon ":"]]=1,"Single Range", "Multiple (Cell or Range)")))</f>
        <v>Other</v>
      </c>
    </row>
    <row r="19" spans="2:11" x14ac:dyDescent="0.25">
      <c r="B19" s="6" t="s">
        <v>768</v>
      </c>
      <c r="C19" s="8" t="s">
        <v>769</v>
      </c>
      <c r="D19" s="18" t="str">
        <f ca="1">IFERROR(INDIRECT(Table_NamedRanges[[#This Row],[Named Range Paste]]),"Undefined/Error")</f>
        <v>Trans-Train</v>
      </c>
      <c r="E19" s="18" t="str">
        <f>Table_NamedRanges[[#This Row],[Reference Paste]]</f>
        <v>=Table_Expenses[Expense]</v>
      </c>
      <c r="F19" s="18" t="b">
        <f ca="1">ISERROR(VLOOKUP(Table_NamedRanges[[#This Row],[Named Range Paste]],OFFSET(INDEX(Table_ErrorList[],1,1),0,MATCH(Table_ErrorList[[#Headers],[Attention To Named Range]],Table_ErrorList[#Headers],0)-1,ROWS(Table_ErrorList[]),1),1,FALSE))=FALSE</f>
        <v>0</v>
      </c>
      <c r="G19" s="20" t="b">
        <f>MID(Table_NamedRanges[[#This Row],[Reference Text]],2,1)="'"</f>
        <v>0</v>
      </c>
      <c r="H19" s="20">
        <f>(LEN(Table_NamedRanges[[#This Row],[Reference Text]])-LEN(SUBSTITUTE(Table_NamedRanges[[#This Row],[Reference Text]],":","")))/LEN(":")</f>
        <v>0</v>
      </c>
      <c r="I19" s="20" t="b">
        <f>OR(ISERROR(FIND("[",Table_NamedRanges[[#This Row],[Reference Text]],1))=FALSE,ISERROR(FIND("]",Table_NamedRanges[[#This Row],[Reference Text]],1))=FALSE)</f>
        <v>1</v>
      </c>
      <c r="J19" s="20">
        <f>(LEN(Table_NamedRanges[[#This Row],[Reference Text]])-LEN(SUBSTITUTE(Table_NamedRanges[[#This Row],[Reference Text]],",","")))/LEN(",")</f>
        <v>0</v>
      </c>
      <c r="K19" s="20" t="str">
        <f>IF(Table_NamedRanges[[#This Row],[Starts with '']]=FALSE,"Other",IF(AND(Table_NamedRanges[[#This Row],[Count of Colon ":"]]=0,Table_NamedRanges[[#This Row],[Count of ","]]=0),"Single Cell",IF(Table_NamedRanges[[#This Row],[Count of Colon ":"]]=1,"Single Range", "Multiple (Cell or Range)")))</f>
        <v>Other</v>
      </c>
    </row>
    <row r="20" spans="2:11" x14ac:dyDescent="0.25">
      <c r="B20" s="6" t="s">
        <v>770</v>
      </c>
      <c r="C20" s="8" t="s">
        <v>771</v>
      </c>
      <c r="D20" s="18" t="str">
        <f ca="1">IFERROR(INDIRECT(Table_NamedRanges[[#This Row],[Named Range Paste]]),"Undefined/Error")</f>
        <v>Undefined/Error</v>
      </c>
      <c r="E20" s="18" t="str">
        <f>Table_NamedRanges[[#This Row],[Reference Paste]]</f>
        <v>=Table_KMCentre[Community]</v>
      </c>
      <c r="F20" s="18" t="b">
        <f ca="1">ISERROR(VLOOKUP(Table_NamedRanges[[#This Row],[Named Range Paste]],OFFSET(INDEX(Table_ErrorList[],1,1),0,MATCH(Table_ErrorList[[#Headers],[Attention To Named Range]],Table_ErrorList[#Headers],0)-1,ROWS(Table_ErrorList[]),1),1,FALSE))=FALSE</f>
        <v>0</v>
      </c>
      <c r="G20" s="20" t="b">
        <f>MID(Table_NamedRanges[[#This Row],[Reference Text]],2,1)="'"</f>
        <v>0</v>
      </c>
      <c r="H20" s="20">
        <f>(LEN(Table_NamedRanges[[#This Row],[Reference Text]])-LEN(SUBSTITUTE(Table_NamedRanges[[#This Row],[Reference Text]],":","")))/LEN(":")</f>
        <v>0</v>
      </c>
      <c r="I20" s="20" t="b">
        <f>OR(ISERROR(FIND("[",Table_NamedRanges[[#This Row],[Reference Text]],1))=FALSE,ISERROR(FIND("]",Table_NamedRanges[[#This Row],[Reference Text]],1))=FALSE)</f>
        <v>1</v>
      </c>
      <c r="J20" s="20">
        <f>(LEN(Table_NamedRanges[[#This Row],[Reference Text]])-LEN(SUBSTITUTE(Table_NamedRanges[[#This Row],[Reference Text]],",","")))/LEN(",")</f>
        <v>0</v>
      </c>
      <c r="K20" s="20" t="str">
        <f>IF(Table_NamedRanges[[#This Row],[Starts with '']]=FALSE,"Other",IF(AND(Table_NamedRanges[[#This Row],[Count of Colon ":"]]=0,Table_NamedRanges[[#This Row],[Count of ","]]=0),"Single Cell",IF(Table_NamedRanges[[#This Row],[Count of Colon ":"]]=1,"Single Range", "Multiple (Cell or Range)")))</f>
        <v>Other</v>
      </c>
    </row>
    <row r="21" spans="2:11" x14ac:dyDescent="0.25">
      <c r="B21" s="6" t="s">
        <v>772</v>
      </c>
      <c r="C21" s="8" t="s">
        <v>773</v>
      </c>
      <c r="D21" s="18" t="str">
        <f ca="1">IFERROR(INDIRECT(Table_NamedRanges[[#This Row],[Named Range Paste]]),"Undefined/Error")</f>
        <v xml:space="preserve">Fort Frances </v>
      </c>
      <c r="E21" s="18" t="str">
        <f>Table_NamedRanges[[#This Row],[Reference Paste]]</f>
        <v>=Table_KMCommunity[Community]</v>
      </c>
      <c r="F21" s="18" t="b">
        <f ca="1">ISERROR(VLOOKUP(Table_NamedRanges[[#This Row],[Named Range Paste]],OFFSET(INDEX(Table_ErrorList[],1,1),0,MATCH(Table_ErrorList[[#Headers],[Attention To Named Range]],Table_ErrorList[#Headers],0)-1,ROWS(Table_ErrorList[]),1),1,FALSE))=FALSE</f>
        <v>0</v>
      </c>
      <c r="G21" s="20" t="b">
        <f>MID(Table_NamedRanges[[#This Row],[Reference Text]],2,1)="'"</f>
        <v>0</v>
      </c>
      <c r="H21" s="20">
        <f>(LEN(Table_NamedRanges[[#This Row],[Reference Text]])-LEN(SUBSTITUTE(Table_NamedRanges[[#This Row],[Reference Text]],":","")))/LEN(":")</f>
        <v>0</v>
      </c>
      <c r="I21" s="20" t="b">
        <f>OR(ISERROR(FIND("[",Table_NamedRanges[[#This Row],[Reference Text]],1))=FALSE,ISERROR(FIND("]",Table_NamedRanges[[#This Row],[Reference Text]],1))=FALSE)</f>
        <v>1</v>
      </c>
      <c r="J21" s="20">
        <f>(LEN(Table_NamedRanges[[#This Row],[Reference Text]])-LEN(SUBSTITUTE(Table_NamedRanges[[#This Row],[Reference Text]],",","")))/LEN(",")</f>
        <v>0</v>
      </c>
      <c r="K21" s="20" t="str">
        <f>IF(Table_NamedRanges[[#This Row],[Starts with '']]=FALSE,"Other",IF(AND(Table_NamedRanges[[#This Row],[Count of Colon ":"]]=0,Table_NamedRanges[[#This Row],[Count of ","]]=0),"Single Cell",IF(Table_NamedRanges[[#This Row],[Count of Colon ":"]]=1,"Single Range", "Multiple (Cell or Range)")))</f>
        <v>Other</v>
      </c>
    </row>
    <row r="22" spans="2:11" x14ac:dyDescent="0.25">
      <c r="B22" s="6" t="s">
        <v>774</v>
      </c>
      <c r="C22" s="8" t="s">
        <v>775</v>
      </c>
      <c r="D22" s="18" t="str">
        <f ca="1">IFERROR(INDIRECT(Table_NamedRanges[[#This Row],[Named Range Paste]]),"Undefined/Error")</f>
        <v>Select</v>
      </c>
      <c r="E22" s="18" t="str">
        <f>Table_NamedRanges[[#This Row],[Reference Paste]]</f>
        <v>='Particulars Validation'!$A$4</v>
      </c>
      <c r="F22" s="18" t="b">
        <f ca="1">ISERROR(VLOOKUP(Table_NamedRanges[[#This Row],[Named Range Paste]],OFFSET(INDEX(Table_ErrorList[],1,1),0,MATCH(Table_ErrorList[[#Headers],[Attention To Named Range]],Table_ErrorList[#Headers],0)-1,ROWS(Table_ErrorList[]),1),1,FALSE))=FALSE</f>
        <v>0</v>
      </c>
      <c r="G22" s="20" t="b">
        <f>MID(Table_NamedRanges[[#This Row],[Reference Text]],2,1)="'"</f>
        <v>1</v>
      </c>
      <c r="H22" s="20">
        <f>(LEN(Table_NamedRanges[[#This Row],[Reference Text]])-LEN(SUBSTITUTE(Table_NamedRanges[[#This Row],[Reference Text]],":","")))/LEN(":")</f>
        <v>0</v>
      </c>
      <c r="I22" s="20" t="b">
        <f>OR(ISERROR(FIND("[",Table_NamedRanges[[#This Row],[Reference Text]],1))=FALSE,ISERROR(FIND("]",Table_NamedRanges[[#This Row],[Reference Text]],1))=FALSE)</f>
        <v>0</v>
      </c>
      <c r="J22" s="20">
        <f>(LEN(Table_NamedRanges[[#This Row],[Reference Text]])-LEN(SUBSTITUTE(Table_NamedRanges[[#This Row],[Reference Text]],",","")))/LEN(",")</f>
        <v>0</v>
      </c>
      <c r="K22" s="20" t="str">
        <f>IF(Table_NamedRanges[[#This Row],[Starts with '']]=FALSE,"Other",IF(AND(Table_NamedRanges[[#This Row],[Count of Colon ":"]]=0,Table_NamedRanges[[#This Row],[Count of ","]]=0),"Single Cell",IF(Table_NamedRanges[[#This Row],[Count of Colon ":"]]=1,"Single Range", "Multiple (Cell or Range)")))</f>
        <v>Single Cell</v>
      </c>
    </row>
    <row r="23" spans="2:11" x14ac:dyDescent="0.25">
      <c r="B23" s="6" t="s">
        <v>776</v>
      </c>
      <c r="C23" s="8" t="s">
        <v>777</v>
      </c>
      <c r="D23" s="18" t="str">
        <f ca="1">IFERROR(INDIRECT(Table_NamedRanges[[#This Row],[Named Range Paste]]),"Undefined/Error")</f>
        <v>Undefined/Error</v>
      </c>
      <c r="E23" s="18" t="str">
        <f>Table_NamedRanges[[#This Row],[Reference Paste]]</f>
        <v>=Table_PayeeType[Payee Type]</v>
      </c>
      <c r="F23" s="18" t="b">
        <f ca="1">ISERROR(VLOOKUP(Table_NamedRanges[[#This Row],[Named Range Paste]],OFFSET(INDEX(Table_ErrorList[],1,1),0,MATCH(Table_ErrorList[[#Headers],[Attention To Named Range]],Table_ErrorList[#Headers],0)-1,ROWS(Table_ErrorList[]),1),1,FALSE))=FALSE</f>
        <v>0</v>
      </c>
      <c r="G23" s="20" t="b">
        <f>MID(Table_NamedRanges[[#This Row],[Reference Text]],2,1)="'"</f>
        <v>0</v>
      </c>
      <c r="H23" s="20">
        <f>(LEN(Table_NamedRanges[[#This Row],[Reference Text]])-LEN(SUBSTITUTE(Table_NamedRanges[[#This Row],[Reference Text]],":","")))/LEN(":")</f>
        <v>0</v>
      </c>
      <c r="I23" s="20" t="b">
        <f>OR(ISERROR(FIND("[",Table_NamedRanges[[#This Row],[Reference Text]],1))=FALSE,ISERROR(FIND("]",Table_NamedRanges[[#This Row],[Reference Text]],1))=FALSE)</f>
        <v>1</v>
      </c>
      <c r="J23" s="20">
        <f>(LEN(Table_NamedRanges[[#This Row],[Reference Text]])-LEN(SUBSTITUTE(Table_NamedRanges[[#This Row],[Reference Text]],",","")))/LEN(",")</f>
        <v>0</v>
      </c>
      <c r="K23" s="20" t="str">
        <f>IF(Table_NamedRanges[[#This Row],[Starts with '']]=FALSE,"Other",IF(AND(Table_NamedRanges[[#This Row],[Count of Colon ":"]]=0,Table_NamedRanges[[#This Row],[Count of ","]]=0),"Single Cell",IF(Table_NamedRanges[[#This Row],[Count of Colon ":"]]=1,"Single Range", "Multiple (Cell or Range)")))</f>
        <v>Other</v>
      </c>
    </row>
    <row r="24" spans="2:11" x14ac:dyDescent="0.25">
      <c r="B24" s="6" t="s">
        <v>778</v>
      </c>
      <c r="C24" s="8" t="s">
        <v>779</v>
      </c>
      <c r="D24" s="18" t="str">
        <f ca="1">IFERROR(INDIRECT(Table_NamedRanges[[#This Row],[Named Range Paste]]),"Undefined/Error")</f>
        <v>Undefined/Error</v>
      </c>
      <c r="E24" s="18" t="str">
        <f>Table_NamedRanges[[#This Row],[Reference Paste]]</f>
        <v>=Table_PaymentOption[Banking Options]</v>
      </c>
      <c r="F24" s="18" t="b">
        <f ca="1">ISERROR(VLOOKUP(Table_NamedRanges[[#This Row],[Named Range Paste]],OFFSET(INDEX(Table_ErrorList[],1,1),0,MATCH(Table_ErrorList[[#Headers],[Attention To Named Range]],Table_ErrorList[#Headers],0)-1,ROWS(Table_ErrorList[]),1),1,FALSE))=FALSE</f>
        <v>0</v>
      </c>
      <c r="G24" s="20" t="b">
        <f>MID(Table_NamedRanges[[#This Row],[Reference Text]],2,1)="'"</f>
        <v>0</v>
      </c>
      <c r="H24" s="20">
        <f>(LEN(Table_NamedRanges[[#This Row],[Reference Text]])-LEN(SUBSTITUTE(Table_NamedRanges[[#This Row],[Reference Text]],":","")))/LEN(":")</f>
        <v>0</v>
      </c>
      <c r="I24" s="20" t="b">
        <f>OR(ISERROR(FIND("[",Table_NamedRanges[[#This Row],[Reference Text]],1))=FALSE,ISERROR(FIND("]",Table_NamedRanges[[#This Row],[Reference Text]],1))=FALSE)</f>
        <v>1</v>
      </c>
      <c r="J24" s="20">
        <f>(LEN(Table_NamedRanges[[#This Row],[Reference Text]])-LEN(SUBSTITUTE(Table_NamedRanges[[#This Row],[Reference Text]],",","")))/LEN(",")</f>
        <v>0</v>
      </c>
      <c r="K24" s="20" t="str">
        <f>IF(Table_NamedRanges[[#This Row],[Starts with '']]=FALSE,"Other",IF(AND(Table_NamedRanges[[#This Row],[Count of Colon ":"]]=0,Table_NamedRanges[[#This Row],[Count of ","]]=0),"Single Cell",IF(Table_NamedRanges[[#This Row],[Count of Colon ":"]]=1,"Single Range", "Multiple (Cell or Range)")))</f>
        <v>Other</v>
      </c>
    </row>
    <row r="25" spans="2:11" x14ac:dyDescent="0.25">
      <c r="B25" s="6" t="s">
        <v>780</v>
      </c>
      <c r="C25" s="8" t="s">
        <v>781</v>
      </c>
      <c r="D25" s="18" t="str">
        <f ca="1">IFERROR(INDIRECT(Table_NamedRanges[[#This Row],[Named Range Paste]]),"Undefined/Error")</f>
        <v>Undefined/Error</v>
      </c>
      <c r="E25" s="18" t="str">
        <f>Table_NamedRanges[[#This Row],[Reference Paste]]</f>
        <v>=Table_Prefix[Prefix]</v>
      </c>
      <c r="F25" s="18" t="b">
        <f ca="1">ISERROR(VLOOKUP(Table_NamedRanges[[#This Row],[Named Range Paste]],OFFSET(INDEX(Table_ErrorList[],1,1),0,MATCH(Table_ErrorList[[#Headers],[Attention To Named Range]],Table_ErrorList[#Headers],0)-1,ROWS(Table_ErrorList[]),1),1,FALSE))=FALSE</f>
        <v>0</v>
      </c>
      <c r="G25" s="20" t="b">
        <f>MID(Table_NamedRanges[[#This Row],[Reference Text]],2,1)="'"</f>
        <v>0</v>
      </c>
      <c r="H25" s="20">
        <f>(LEN(Table_NamedRanges[[#This Row],[Reference Text]])-LEN(SUBSTITUTE(Table_NamedRanges[[#This Row],[Reference Text]],":","")))/LEN(":")</f>
        <v>0</v>
      </c>
      <c r="I25" s="20" t="b">
        <f>OR(ISERROR(FIND("[",Table_NamedRanges[[#This Row],[Reference Text]],1))=FALSE,ISERROR(FIND("]",Table_NamedRanges[[#This Row],[Reference Text]],1))=FALSE)</f>
        <v>1</v>
      </c>
      <c r="J25" s="20">
        <f>(LEN(Table_NamedRanges[[#This Row],[Reference Text]])-LEN(SUBSTITUTE(Table_NamedRanges[[#This Row],[Reference Text]],",","")))/LEN(",")</f>
        <v>0</v>
      </c>
      <c r="K25" s="20" t="str">
        <f>IF(Table_NamedRanges[[#This Row],[Starts with '']]=FALSE,"Other",IF(AND(Table_NamedRanges[[#This Row],[Count of Colon ":"]]=0,Table_NamedRanges[[#This Row],[Count of ","]]=0),"Single Cell",IF(Table_NamedRanges[[#This Row],[Count of Colon ":"]]=1,"Single Range", "Multiple (Cell or Range)")))</f>
        <v>Other</v>
      </c>
    </row>
    <row r="26" spans="2:11" x14ac:dyDescent="0.25">
      <c r="B26" s="6" t="s">
        <v>782</v>
      </c>
      <c r="C26" s="8" t="s">
        <v>783</v>
      </c>
      <c r="D26" s="18" t="str">
        <f ca="1">IFERROR(INDIRECT(Table_NamedRanges[[#This Row],[Named Range Paste]]),"Undefined/Error")</f>
        <v>Undefined/Error</v>
      </c>
      <c r="E26" s="18" t="str">
        <f>Table_NamedRanges[[#This Row],[Reference Paste]]</f>
        <v>=Table_Provinces[Abbr]</v>
      </c>
      <c r="F26" s="18" t="b">
        <f ca="1">ISERROR(VLOOKUP(Table_NamedRanges[[#This Row],[Named Range Paste]],OFFSET(INDEX(Table_ErrorList[],1,1),0,MATCH(Table_ErrorList[[#Headers],[Attention To Named Range]],Table_ErrorList[#Headers],0)-1,ROWS(Table_ErrorList[]),1),1,FALSE))=FALSE</f>
        <v>0</v>
      </c>
      <c r="G26" s="20" t="b">
        <f>MID(Table_NamedRanges[[#This Row],[Reference Text]],2,1)="'"</f>
        <v>0</v>
      </c>
      <c r="H26" s="20">
        <f>(LEN(Table_NamedRanges[[#This Row],[Reference Text]])-LEN(SUBSTITUTE(Table_NamedRanges[[#This Row],[Reference Text]],":","")))/LEN(":")</f>
        <v>0</v>
      </c>
      <c r="I26" s="20" t="b">
        <f>OR(ISERROR(FIND("[",Table_NamedRanges[[#This Row],[Reference Text]],1))=FALSE,ISERROR(FIND("]",Table_NamedRanges[[#This Row],[Reference Text]],1))=FALSE)</f>
        <v>1</v>
      </c>
      <c r="J26" s="20">
        <f>(LEN(Table_NamedRanges[[#This Row],[Reference Text]])-LEN(SUBSTITUTE(Table_NamedRanges[[#This Row],[Reference Text]],",","")))/LEN(",")</f>
        <v>0</v>
      </c>
      <c r="K26" s="20" t="str">
        <f>IF(Table_NamedRanges[[#This Row],[Starts with '']]=FALSE,"Other",IF(AND(Table_NamedRanges[[#This Row],[Count of Colon ":"]]=0,Table_NamedRanges[[#This Row],[Count of ","]]=0),"Single Cell",IF(Table_NamedRanges[[#This Row],[Count of Colon ":"]]=1,"Single Range", "Multiple (Cell or Range)")))</f>
        <v>Other</v>
      </c>
    </row>
    <row r="27" spans="2:11" x14ac:dyDescent="0.25">
      <c r="B27" s="6" t="s">
        <v>784</v>
      </c>
      <c r="C27" s="8" t="s">
        <v>785</v>
      </c>
      <c r="D27" s="18" t="str">
        <f ca="1">IFERROR(INDIRECT(Table_NamedRanges[[#This Row],[Named Range Paste]]),"Undefined/Error")</f>
        <v>Undefined/Error</v>
      </c>
      <c r="E27" s="18" t="str">
        <f>Table_NamedRanges[[#This Row],[Reference Paste]]</f>
        <v>=Table_Conference[Purpose]</v>
      </c>
      <c r="F27" s="18" t="b">
        <f ca="1">ISERROR(VLOOKUP(Table_NamedRanges[[#This Row],[Named Range Paste]],OFFSET(INDEX(Table_ErrorList[],1,1),0,MATCH(Table_ErrorList[[#Headers],[Attention To Named Range]],Table_ErrorList[#Headers],0)-1,ROWS(Table_ErrorList[]),1),1,FALSE))=FALSE</f>
        <v>0</v>
      </c>
      <c r="G27" s="20" t="b">
        <f>MID(Table_NamedRanges[[#This Row],[Reference Text]],2,1)="'"</f>
        <v>0</v>
      </c>
      <c r="H27" s="20">
        <f>(LEN(Table_NamedRanges[[#This Row],[Reference Text]])-LEN(SUBSTITUTE(Table_NamedRanges[[#This Row],[Reference Text]],":","")))/LEN(":")</f>
        <v>0</v>
      </c>
      <c r="I27" s="20" t="b">
        <f>OR(ISERROR(FIND("[",Table_NamedRanges[[#This Row],[Reference Text]],1))=FALSE,ISERROR(FIND("]",Table_NamedRanges[[#This Row],[Reference Text]],1))=FALSE)</f>
        <v>1</v>
      </c>
      <c r="J27" s="20">
        <f>(LEN(Table_NamedRanges[[#This Row],[Reference Text]])-LEN(SUBSTITUTE(Table_NamedRanges[[#This Row],[Reference Text]],",","")))/LEN(",")</f>
        <v>0</v>
      </c>
      <c r="K27" s="20" t="str">
        <f>IF(Table_NamedRanges[[#This Row],[Starts with '']]=FALSE,"Other",IF(AND(Table_NamedRanges[[#This Row],[Count of Colon ":"]]=0,Table_NamedRanges[[#This Row],[Count of ","]]=0),"Single Cell",IF(Table_NamedRanges[[#This Row],[Count of Colon ":"]]=1,"Single Range", "Multiple (Cell or Range)")))</f>
        <v>Other</v>
      </c>
    </row>
    <row r="28" spans="2:11" x14ac:dyDescent="0.25">
      <c r="B28" s="6" t="s">
        <v>786</v>
      </c>
      <c r="C28" s="8" t="s">
        <v>787</v>
      </c>
      <c r="D28" s="18" t="str">
        <f ca="1">IFERROR(INDIRECT(Table_NamedRanges[[#This Row],[Named Range Paste]]),"Undefined/Error")</f>
        <v>Undefined/Error</v>
      </c>
      <c r="E28" s="18" t="str">
        <f>Table_NamedRanges[[#This Row],[Reference Paste]]</f>
        <v>=Table_Range[Range]</v>
      </c>
      <c r="F28" s="18" t="b">
        <f ca="1">ISERROR(VLOOKUP(Table_NamedRanges[[#This Row],[Named Range Paste]],OFFSET(INDEX(Table_ErrorList[],1,1),0,MATCH(Table_ErrorList[[#Headers],[Attention To Named Range]],Table_ErrorList[#Headers],0)-1,ROWS(Table_ErrorList[]),1),1,FALSE))=FALSE</f>
        <v>0</v>
      </c>
      <c r="G28" s="20" t="b">
        <f>MID(Table_NamedRanges[[#This Row],[Reference Text]],2,1)="'"</f>
        <v>0</v>
      </c>
      <c r="H28" s="20">
        <f>(LEN(Table_NamedRanges[[#This Row],[Reference Text]])-LEN(SUBSTITUTE(Table_NamedRanges[[#This Row],[Reference Text]],":","")))/LEN(":")</f>
        <v>0</v>
      </c>
      <c r="I28" s="20" t="b">
        <f>OR(ISERROR(FIND("[",Table_NamedRanges[[#This Row],[Reference Text]],1))=FALSE,ISERROR(FIND("]",Table_NamedRanges[[#This Row],[Reference Text]],1))=FALSE)</f>
        <v>1</v>
      </c>
      <c r="J28" s="20">
        <f>(LEN(Table_NamedRanges[[#This Row],[Reference Text]])-LEN(SUBSTITUTE(Table_NamedRanges[[#This Row],[Reference Text]],",","")))/LEN(",")</f>
        <v>0</v>
      </c>
      <c r="K28" s="20" t="str">
        <f>IF(Table_NamedRanges[[#This Row],[Starts with '']]=FALSE,"Other",IF(AND(Table_NamedRanges[[#This Row],[Count of Colon ":"]]=0,Table_NamedRanges[[#This Row],[Count of ","]]=0),"Single Cell",IF(Table_NamedRanges[[#This Row],[Count of Colon ":"]]=1,"Single Range", "Multiple (Cell or Range)")))</f>
        <v>Other</v>
      </c>
    </row>
    <row r="29" spans="2:11" ht="60" x14ac:dyDescent="0.25">
      <c r="B29" s="6" t="s">
        <v>788</v>
      </c>
      <c r="C29" s="8" t="s">
        <v>789</v>
      </c>
      <c r="D29" s="18" t="str">
        <f ca="1">IFERROR(INDIRECT(Table_NamedRanges[[#This Row],[Named Range Paste]]),"Undefined/Error")</f>
        <v>Undefined/Error</v>
      </c>
      <c r="E29" s="18" t="str">
        <f>Table_NamedRanges[[#This Row],[Reference Paste]]</f>
        <v>=OFFSET(INDEX(Table_Dates[Receipt Date Available],1,1),0,0,COUNTA(Table_Dates[Receipt Date Available])-COUNTIF(Table_Dates[Receipt Date Available],"XXXX"),1)</v>
      </c>
      <c r="F29" s="18" t="b">
        <f ca="1">ISERROR(VLOOKUP(Table_NamedRanges[[#This Row],[Named Range Paste]],OFFSET(INDEX(Table_ErrorList[],1,1),0,MATCH(Table_ErrorList[[#Headers],[Attention To Named Range]],Table_ErrorList[#Headers],0)-1,ROWS(Table_ErrorList[]),1),1,FALSE))=FALSE</f>
        <v>0</v>
      </c>
      <c r="G29" s="20" t="b">
        <f>MID(Table_NamedRanges[[#This Row],[Reference Text]],2,1)="'"</f>
        <v>0</v>
      </c>
      <c r="H29" s="20">
        <f>(LEN(Table_NamedRanges[[#This Row],[Reference Text]])-LEN(SUBSTITUTE(Table_NamedRanges[[#This Row],[Reference Text]],":","")))/LEN(":")</f>
        <v>0</v>
      </c>
      <c r="I29" s="20" t="b">
        <f>OR(ISERROR(FIND("[",Table_NamedRanges[[#This Row],[Reference Text]],1))=FALSE,ISERROR(FIND("]",Table_NamedRanges[[#This Row],[Reference Text]],1))=FALSE)</f>
        <v>1</v>
      </c>
      <c r="J29" s="20">
        <f>(LEN(Table_NamedRanges[[#This Row],[Reference Text]])-LEN(SUBSTITUTE(Table_NamedRanges[[#This Row],[Reference Text]],",","")))/LEN(",")</f>
        <v>7</v>
      </c>
      <c r="K29" s="20" t="str">
        <f>IF(Table_NamedRanges[[#This Row],[Starts with '']]=FALSE,"Other",IF(AND(Table_NamedRanges[[#This Row],[Count of Colon ":"]]=0,Table_NamedRanges[[#This Row],[Count of ","]]=0),"Single Cell",IF(Table_NamedRanges[[#This Row],[Count of Colon ":"]]=1,"Single Range", "Multiple (Cell or Range)")))</f>
        <v>Other</v>
      </c>
    </row>
    <row r="30" spans="2:11" x14ac:dyDescent="0.25">
      <c r="B30" s="6" t="s">
        <v>790</v>
      </c>
      <c r="C30" s="8" t="s">
        <v>791</v>
      </c>
      <c r="D30" s="18" t="str">
        <f ca="1">IFERROR(INDIRECT(Table_NamedRanges[[#This Row],[Named Range Paste]]),"Undefined/Error")</f>
        <v>Undefined/Error</v>
      </c>
      <c r="E30" s="18" t="str">
        <f>Table_NamedRanges[[#This Row],[Reference Paste]]</f>
        <v>=Table_Requester[Requester]</v>
      </c>
      <c r="F30" s="18" t="b">
        <f ca="1">ISERROR(VLOOKUP(Table_NamedRanges[[#This Row],[Named Range Paste]],OFFSET(INDEX(Table_ErrorList[],1,1),0,MATCH(Table_ErrorList[[#Headers],[Attention To Named Range]],Table_ErrorList[#Headers],0)-1,ROWS(Table_ErrorList[]),1),1,FALSE))=FALSE</f>
        <v>0</v>
      </c>
      <c r="G30" s="20" t="b">
        <f>MID(Table_NamedRanges[[#This Row],[Reference Text]],2,1)="'"</f>
        <v>0</v>
      </c>
      <c r="H30" s="20">
        <f>(LEN(Table_NamedRanges[[#This Row],[Reference Text]])-LEN(SUBSTITUTE(Table_NamedRanges[[#This Row],[Reference Text]],":","")))/LEN(":")</f>
        <v>0</v>
      </c>
      <c r="I30" s="20" t="b">
        <f>OR(ISERROR(FIND("[",Table_NamedRanges[[#This Row],[Reference Text]],1))=FALSE,ISERROR(FIND("]",Table_NamedRanges[[#This Row],[Reference Text]],1))=FALSE)</f>
        <v>1</v>
      </c>
      <c r="J30" s="20">
        <f>(LEN(Table_NamedRanges[[#This Row],[Reference Text]])-LEN(SUBSTITUTE(Table_NamedRanges[[#This Row],[Reference Text]],",","")))/LEN(",")</f>
        <v>0</v>
      </c>
      <c r="K30" s="20" t="str">
        <f>IF(Table_NamedRanges[[#This Row],[Starts with '']]=FALSE,"Other",IF(AND(Table_NamedRanges[[#This Row],[Count of Colon ":"]]=0,Table_NamedRanges[[#This Row],[Count of ","]]=0),"Single Cell",IF(Table_NamedRanges[[#This Row],[Count of Colon ":"]]=1,"Single Range", "Multiple (Cell or Range)")))</f>
        <v>Other</v>
      </c>
    </row>
    <row r="31" spans="2:11" x14ac:dyDescent="0.25">
      <c r="B31" s="6" t="s">
        <v>792</v>
      </c>
      <c r="C31" s="8" t="s">
        <v>793</v>
      </c>
      <c r="D31" s="18" t="str">
        <f ca="1">IFERROR(INDIRECT(Table_NamedRanges[[#This Row],[Named Range Paste]]),"Undefined/Error")</f>
        <v>Undefined/Error</v>
      </c>
      <c r="E31" s="18" t="str">
        <f>Table_NamedRanges[[#This Row],[Reference Paste]]</f>
        <v>=Table_SectionNames[Section '#]</v>
      </c>
      <c r="F31" s="18" t="b">
        <f ca="1">ISERROR(VLOOKUP(Table_NamedRanges[[#This Row],[Named Range Paste]],OFFSET(INDEX(Table_ErrorList[],1,1),0,MATCH(Table_ErrorList[[#Headers],[Attention To Named Range]],Table_ErrorList[#Headers],0)-1,ROWS(Table_ErrorList[]),1),1,FALSE))=FALSE</f>
        <v>0</v>
      </c>
      <c r="G31" s="20" t="b">
        <f>MID(Table_NamedRanges[[#This Row],[Reference Text]],2,1)="'"</f>
        <v>0</v>
      </c>
      <c r="H31" s="20">
        <f>(LEN(Table_NamedRanges[[#This Row],[Reference Text]])-LEN(SUBSTITUTE(Table_NamedRanges[[#This Row],[Reference Text]],":","")))/LEN(":")</f>
        <v>0</v>
      </c>
      <c r="I31" s="20" t="b">
        <f>OR(ISERROR(FIND("[",Table_NamedRanges[[#This Row],[Reference Text]],1))=FALSE,ISERROR(FIND("]",Table_NamedRanges[[#This Row],[Reference Text]],1))=FALSE)</f>
        <v>1</v>
      </c>
      <c r="J31" s="20">
        <f>(LEN(Table_NamedRanges[[#This Row],[Reference Text]])-LEN(SUBSTITUTE(Table_NamedRanges[[#This Row],[Reference Text]],",","")))/LEN(",")</f>
        <v>0</v>
      </c>
      <c r="K31" s="20" t="str">
        <f>IF(Table_NamedRanges[[#This Row],[Starts with '']]=FALSE,"Other",IF(AND(Table_NamedRanges[[#This Row],[Count of Colon ":"]]=0,Table_NamedRanges[[#This Row],[Count of ","]]=0),"Single Cell",IF(Table_NamedRanges[[#This Row],[Count of Colon ":"]]=1,"Single Range", "Multiple (Cell or Range)")))</f>
        <v>Other</v>
      </c>
    </row>
    <row r="32" spans="2:11" x14ac:dyDescent="0.25">
      <c r="B32" s="6" t="s">
        <v>794</v>
      </c>
      <c r="C32" s="8" t="s">
        <v>795</v>
      </c>
      <c r="D32" s="18" t="str">
        <f ca="1">IFERROR(INDIRECT(Table_NamedRanges[[#This Row],[Named Range Paste]]),"Undefined/Error")</f>
        <v>Undefined/Error</v>
      </c>
      <c r="E32" s="18" t="str">
        <f>Table_NamedRanges[[#This Row],[Reference Paste]]</f>
        <v>=Table_SubmittingPortfolio[Submitting Portfolio]</v>
      </c>
      <c r="F32" s="18" t="b">
        <f ca="1">ISERROR(VLOOKUP(Table_NamedRanges[[#This Row],[Named Range Paste]],OFFSET(INDEX(Table_ErrorList[],1,1),0,MATCH(Table_ErrorList[[#Headers],[Attention To Named Range]],Table_ErrorList[#Headers],0)-1,ROWS(Table_ErrorList[]),1),1,FALSE))=FALSE</f>
        <v>0</v>
      </c>
      <c r="G32" s="20" t="b">
        <f>MID(Table_NamedRanges[[#This Row],[Reference Text]],2,1)="'"</f>
        <v>0</v>
      </c>
      <c r="H32" s="20">
        <f>(LEN(Table_NamedRanges[[#This Row],[Reference Text]])-LEN(SUBSTITUTE(Table_NamedRanges[[#This Row],[Reference Text]],":","")))/LEN(":")</f>
        <v>0</v>
      </c>
      <c r="I32" s="20" t="b">
        <f>OR(ISERROR(FIND("[",Table_NamedRanges[[#This Row],[Reference Text]],1))=FALSE,ISERROR(FIND("]",Table_NamedRanges[[#This Row],[Reference Text]],1))=FALSE)</f>
        <v>1</v>
      </c>
      <c r="J32" s="20">
        <f>(LEN(Table_NamedRanges[[#This Row],[Reference Text]])-LEN(SUBSTITUTE(Table_NamedRanges[[#This Row],[Reference Text]],",","")))/LEN(",")</f>
        <v>0</v>
      </c>
      <c r="K32" s="20" t="str">
        <f>IF(Table_NamedRanges[[#This Row],[Starts with '']]=FALSE,"Other",IF(AND(Table_NamedRanges[[#This Row],[Count of Colon ":"]]=0,Table_NamedRanges[[#This Row],[Count of ","]]=0),"Single Cell",IF(Table_NamedRanges[[#This Row],[Count of Colon ":"]]=1,"Single Range", "Multiple (Cell or Range)")))</f>
        <v>Other</v>
      </c>
    </row>
    <row r="33" spans="2:11" ht="30" x14ac:dyDescent="0.25">
      <c r="B33" s="6" t="s">
        <v>796</v>
      </c>
      <c r="C33" s="8" t="s">
        <v>797</v>
      </c>
      <c r="D33" s="18" t="str">
        <f ca="1">IFERROR(INDIRECT(Table_NamedRanges[[#This Row],[Named Range Paste]]),"Undefined/Error")</f>
        <v>Undefined/Error</v>
      </c>
      <c r="E33" s="18" t="str">
        <f>Table_NamedRanges[[#This Row],[Reference Paste]]</f>
        <v>=IF(Field15_TravelStartDate&lt;&gt;"",Table_Dates[Travel End Date Available],Field15_TravelStartDate)</v>
      </c>
      <c r="F33" s="18" t="b">
        <f ca="1">ISERROR(VLOOKUP(Table_NamedRanges[[#This Row],[Named Range Paste]],OFFSET(INDEX(Table_ErrorList[],1,1),0,MATCH(Table_ErrorList[[#Headers],[Attention To Named Range]],Table_ErrorList[#Headers],0)-1,ROWS(Table_ErrorList[]),1),1,FALSE))=FALSE</f>
        <v>0</v>
      </c>
      <c r="G33" s="20" t="b">
        <f>MID(Table_NamedRanges[[#This Row],[Reference Text]],2,1)="'"</f>
        <v>0</v>
      </c>
      <c r="H33" s="20">
        <f>(LEN(Table_NamedRanges[[#This Row],[Reference Text]])-LEN(SUBSTITUTE(Table_NamedRanges[[#This Row],[Reference Text]],":","")))/LEN(":")</f>
        <v>0</v>
      </c>
      <c r="I33" s="20" t="b">
        <f>OR(ISERROR(FIND("[",Table_NamedRanges[[#This Row],[Reference Text]],1))=FALSE,ISERROR(FIND("]",Table_NamedRanges[[#This Row],[Reference Text]],1))=FALSE)</f>
        <v>1</v>
      </c>
      <c r="J33" s="20">
        <f>(LEN(Table_NamedRanges[[#This Row],[Reference Text]])-LEN(SUBSTITUTE(Table_NamedRanges[[#This Row],[Reference Text]],",","")))/LEN(",")</f>
        <v>2</v>
      </c>
      <c r="K33" s="20" t="str">
        <f>IF(Table_NamedRanges[[#This Row],[Starts with '']]=FALSE,"Other",IF(AND(Table_NamedRanges[[#This Row],[Count of Colon ":"]]=0,Table_NamedRanges[[#This Row],[Count of ","]]=0),"Single Cell",IF(Table_NamedRanges[[#This Row],[Count of Colon ":"]]=1,"Single Range", "Multiple (Cell or Range)")))</f>
        <v>Other</v>
      </c>
    </row>
    <row r="34" spans="2:11" x14ac:dyDescent="0.25">
      <c r="B34" s="6" t="s">
        <v>798</v>
      </c>
      <c r="C34" s="8" t="s">
        <v>799</v>
      </c>
      <c r="D34" s="18" t="str">
        <f ca="1">IFERROR(INDIRECT(Table_NamedRanges[[#This Row],[Named Range Paste]]),"Undefined/Error")</f>
        <v>Undefined/Error</v>
      </c>
      <c r="E34" s="18" t="str">
        <f>Table_NamedRanges[[#This Row],[Reference Paste]]</f>
        <v>=Table_TripType[Trip Type]</v>
      </c>
      <c r="F34" s="18" t="b">
        <f ca="1">ISERROR(VLOOKUP(Table_NamedRanges[[#This Row],[Named Range Paste]],OFFSET(INDEX(Table_ErrorList[],1,1),0,MATCH(Table_ErrorList[[#Headers],[Attention To Named Range]],Table_ErrorList[#Headers],0)-1,ROWS(Table_ErrorList[]),1),1,FALSE))=FALSE</f>
        <v>0</v>
      </c>
      <c r="G34" s="20" t="b">
        <f>MID(Table_NamedRanges[[#This Row],[Reference Text]],2,1)="'"</f>
        <v>0</v>
      </c>
      <c r="H34" s="20">
        <f>(LEN(Table_NamedRanges[[#This Row],[Reference Text]])-LEN(SUBSTITUTE(Table_NamedRanges[[#This Row],[Reference Text]],":","")))/LEN(":")</f>
        <v>0</v>
      </c>
      <c r="I34" s="20" t="b">
        <f>OR(ISERROR(FIND("[",Table_NamedRanges[[#This Row],[Reference Text]],1))=FALSE,ISERROR(FIND("]",Table_NamedRanges[[#This Row],[Reference Text]],1))=FALSE)</f>
        <v>1</v>
      </c>
      <c r="J34" s="20">
        <f>(LEN(Table_NamedRanges[[#This Row],[Reference Text]])-LEN(SUBSTITUTE(Table_NamedRanges[[#This Row],[Reference Text]],",","")))/LEN(",")</f>
        <v>0</v>
      </c>
      <c r="K34" s="20" t="str">
        <f>IF(Table_NamedRanges[[#This Row],[Starts with '']]=FALSE,"Other",IF(AND(Table_NamedRanges[[#This Row],[Count of Colon ":"]]=0,Table_NamedRanges[[#This Row],[Count of ","]]=0),"Single Cell",IF(Table_NamedRanges[[#This Row],[Count of Colon ":"]]=1,"Single Range", "Multiple (Cell or Range)")))</f>
        <v>Other</v>
      </c>
    </row>
    <row r="35" spans="2:11" x14ac:dyDescent="0.25">
      <c r="B35" s="6" t="s">
        <v>800</v>
      </c>
      <c r="C35" s="8" t="s">
        <v>801</v>
      </c>
      <c r="D35" s="18" t="str">
        <f ca="1">IFERROR(INDIRECT(Table_NamedRanges[[#This Row],[Named Range Paste]]),"Undefined/Error")</f>
        <v>Undefined/Error</v>
      </c>
      <c r="E35" s="18" t="str">
        <f>Table_NamedRanges[[#This Row],[Reference Paste]]</f>
        <v>=Table_YesNo[YesNo]</v>
      </c>
      <c r="F35" s="18" t="b">
        <f ca="1">ISERROR(VLOOKUP(Table_NamedRanges[[#This Row],[Named Range Paste]],OFFSET(INDEX(Table_ErrorList[],1,1),0,MATCH(Table_ErrorList[[#Headers],[Attention To Named Range]],Table_ErrorList[#Headers],0)-1,ROWS(Table_ErrorList[]),1),1,FALSE))=FALSE</f>
        <v>0</v>
      </c>
      <c r="G35" s="20" t="b">
        <f>MID(Table_NamedRanges[[#This Row],[Reference Text]],2,1)="'"</f>
        <v>0</v>
      </c>
      <c r="H35" s="20">
        <f>(LEN(Table_NamedRanges[[#This Row],[Reference Text]])-LEN(SUBSTITUTE(Table_NamedRanges[[#This Row],[Reference Text]],":","")))/LEN(":")</f>
        <v>0</v>
      </c>
      <c r="I35" s="20" t="b">
        <f>OR(ISERROR(FIND("[",Table_NamedRanges[[#This Row],[Reference Text]],1))=FALSE,ISERROR(FIND("]",Table_NamedRanges[[#This Row],[Reference Text]],1))=FALSE)</f>
        <v>1</v>
      </c>
      <c r="J35" s="20">
        <f>(LEN(Table_NamedRanges[[#This Row],[Reference Text]])-LEN(SUBSTITUTE(Table_NamedRanges[[#This Row],[Reference Text]],",","")))/LEN(",")</f>
        <v>0</v>
      </c>
      <c r="K35" s="20" t="str">
        <f>IF(Table_NamedRanges[[#This Row],[Starts with '']]=FALSE,"Other",IF(AND(Table_NamedRanges[[#This Row],[Count of Colon ":"]]=0,Table_NamedRanges[[#This Row],[Count of ","]]=0),"Single Cell",IF(Table_NamedRanges[[#This Row],[Count of Colon ":"]]=1,"Single Range", "Multiple (Cell or Range)")))</f>
        <v>Other</v>
      </c>
    </row>
    <row r="36" spans="2:11" x14ac:dyDescent="0.25">
      <c r="B36" s="6" t="s">
        <v>802</v>
      </c>
      <c r="C36" s="8" t="s">
        <v>803</v>
      </c>
      <c r="D36" s="18" t="b">
        <f ca="1">IFERROR(INDIRECT(Table_NamedRanges[[#This Row],[Named Range Paste]]),"Undefined/Error")</f>
        <v>0</v>
      </c>
      <c r="E36" s="18" t="str">
        <f>Table_NamedRanges[[#This Row],[Reference Paste]]</f>
        <v>='Error List'!$A$7</v>
      </c>
      <c r="F36" s="18" t="b">
        <f ca="1">ISERROR(VLOOKUP(Table_NamedRanges[[#This Row],[Named Range Paste]],OFFSET(INDEX(Table_ErrorList[],1,1),0,MATCH(Table_ErrorList[[#Headers],[Attention To Named Range]],Table_ErrorList[#Headers],0)-1,ROWS(Table_ErrorList[]),1),1,FALSE))=FALSE</f>
        <v>0</v>
      </c>
      <c r="G36" s="20" t="b">
        <f>MID(Table_NamedRanges[[#This Row],[Reference Text]],2,1)="'"</f>
        <v>1</v>
      </c>
      <c r="H36" s="20">
        <f>(LEN(Table_NamedRanges[[#This Row],[Reference Text]])-LEN(SUBSTITUTE(Table_NamedRanges[[#This Row],[Reference Text]],":","")))/LEN(":")</f>
        <v>0</v>
      </c>
      <c r="I36" s="20" t="b">
        <f>OR(ISERROR(FIND("[",Table_NamedRanges[[#This Row],[Reference Text]],1))=FALSE,ISERROR(FIND("]",Table_NamedRanges[[#This Row],[Reference Text]],1))=FALSE)</f>
        <v>0</v>
      </c>
      <c r="J36" s="20">
        <f>(LEN(Table_NamedRanges[[#This Row],[Reference Text]])-LEN(SUBSTITUTE(Table_NamedRanges[[#This Row],[Reference Text]],",","")))/LEN(",")</f>
        <v>0</v>
      </c>
      <c r="K36" s="20" t="str">
        <f>IF(Table_NamedRanges[[#This Row],[Starts with '']]=FALSE,"Other",IF(AND(Table_NamedRanges[[#This Row],[Count of Colon ":"]]=0,Table_NamedRanges[[#This Row],[Count of ","]]=0),"Single Cell",IF(Table_NamedRanges[[#This Row],[Count of Colon ":"]]=1,"Single Range", "Multiple (Cell or Range)")))</f>
        <v>Single Cell</v>
      </c>
    </row>
    <row r="37" spans="2:11" x14ac:dyDescent="0.25">
      <c r="B37" s="6" t="s">
        <v>804</v>
      </c>
      <c r="C37" s="8" t="s">
        <v>805</v>
      </c>
      <c r="D37" s="18" t="str">
        <f ca="1">IFERROR(INDIRECT(Table_NamedRanges[[#This Row],[Named Range Paste]]),"Undefined/Error")</f>
        <v>$J$21,</v>
      </c>
      <c r="E37" s="18" t="str">
        <f>Table_NamedRanges[[#This Row],[Reference Paste]]</f>
        <v>=Table_ErrorList[Used Reference]</v>
      </c>
      <c r="F37" s="18" t="b">
        <f ca="1">ISERROR(VLOOKUP(Table_NamedRanges[[#This Row],[Named Range Paste]],OFFSET(INDEX(Table_ErrorList[],1,1),0,MATCH(Table_ErrorList[[#Headers],[Attention To Named Range]],Table_ErrorList[#Headers],0)-1,ROWS(Table_ErrorList[]),1),1,FALSE))=FALSE</f>
        <v>0</v>
      </c>
      <c r="G37" s="20" t="b">
        <f>MID(Table_NamedRanges[[#This Row],[Reference Text]],2,1)="'"</f>
        <v>0</v>
      </c>
      <c r="H37" s="20">
        <f>(LEN(Table_NamedRanges[[#This Row],[Reference Text]])-LEN(SUBSTITUTE(Table_NamedRanges[[#This Row],[Reference Text]],":","")))/LEN(":")</f>
        <v>0</v>
      </c>
      <c r="I37" s="20" t="b">
        <f>OR(ISERROR(FIND("[",Table_NamedRanges[[#This Row],[Reference Text]],1))=FALSE,ISERROR(FIND("]",Table_NamedRanges[[#This Row],[Reference Text]],1))=FALSE)</f>
        <v>1</v>
      </c>
      <c r="J37" s="20">
        <f>(LEN(Table_NamedRanges[[#This Row],[Reference Text]])-LEN(SUBSTITUTE(Table_NamedRanges[[#This Row],[Reference Text]],",","")))/LEN(",")</f>
        <v>0</v>
      </c>
      <c r="K37" s="20" t="str">
        <f>IF(Table_NamedRanges[[#This Row],[Starts with '']]=FALSE,"Other",IF(AND(Table_NamedRanges[[#This Row],[Count of Colon ":"]]=0,Table_NamedRanges[[#This Row],[Count of ","]]=0),"Single Cell",IF(Table_NamedRanges[[#This Row],[Count of Colon ":"]]=1,"Single Range", "Multiple (Cell or Range)")))</f>
        <v>Other</v>
      </c>
    </row>
    <row r="38" spans="2:11" x14ac:dyDescent="0.25">
      <c r="B38" s="6" t="s">
        <v>806</v>
      </c>
      <c r="C38" s="8" t="s">
        <v>807</v>
      </c>
      <c r="D38" s="18" t="b">
        <f ca="1">IFERROR(INDIRECT(Table_NamedRanges[[#This Row],[Named Range Paste]]),"Undefined/Error")</f>
        <v>0</v>
      </c>
      <c r="E38" s="18" t="str">
        <f>Table_NamedRanges[[#This Row],[Reference Paste]]</f>
        <v>=Table_ErrorList[Error Evaluation]</v>
      </c>
      <c r="F38" s="18" t="b">
        <f ca="1">ISERROR(VLOOKUP(Table_NamedRanges[[#This Row],[Named Range Paste]],OFFSET(INDEX(Table_ErrorList[],1,1),0,MATCH(Table_ErrorList[[#Headers],[Attention To Named Range]],Table_ErrorList[#Headers],0)-1,ROWS(Table_ErrorList[]),1),1,FALSE))=FALSE</f>
        <v>0</v>
      </c>
      <c r="G38" s="20" t="b">
        <f>MID(Table_NamedRanges[[#This Row],[Reference Text]],2,1)="'"</f>
        <v>0</v>
      </c>
      <c r="H38" s="20">
        <f>(LEN(Table_NamedRanges[[#This Row],[Reference Text]])-LEN(SUBSTITUTE(Table_NamedRanges[[#This Row],[Reference Text]],":","")))/LEN(":")</f>
        <v>0</v>
      </c>
      <c r="I38" s="20" t="b">
        <f>OR(ISERROR(FIND("[",Table_NamedRanges[[#This Row],[Reference Text]],1))=FALSE,ISERROR(FIND("]",Table_NamedRanges[[#This Row],[Reference Text]],1))=FALSE)</f>
        <v>1</v>
      </c>
      <c r="J38" s="20">
        <f>(LEN(Table_NamedRanges[[#This Row],[Reference Text]])-LEN(SUBSTITUTE(Table_NamedRanges[[#This Row],[Reference Text]],",","")))/LEN(",")</f>
        <v>0</v>
      </c>
      <c r="K38" s="20" t="str">
        <f>IF(Table_NamedRanges[[#This Row],[Starts with '']]=FALSE,"Other",IF(AND(Table_NamedRanges[[#This Row],[Count of Colon ":"]]=0,Table_NamedRanges[[#This Row],[Count of ","]]=0),"Single Cell",IF(Table_NamedRanges[[#This Row],[Count of Colon ":"]]=1,"Single Range", "Multiple (Cell or Range)")))</f>
        <v>Other</v>
      </c>
    </row>
    <row r="39" spans="2:11" x14ac:dyDescent="0.25">
      <c r="B39" s="6" t="s">
        <v>210</v>
      </c>
      <c r="C39" s="8" t="s">
        <v>808</v>
      </c>
      <c r="D39" s="18" t="str">
        <f ca="1">IFERROR(INDIRECT(Table_NamedRanges[[#This Row],[Named Range Paste]]),"Undefined/Error")</f>
        <v>Ms.</v>
      </c>
      <c r="E39" s="18" t="str">
        <f>Table_NamedRanges[[#This Row],[Reference Paste]]</f>
        <v>='Travel Expense Summary'!$C$12</v>
      </c>
      <c r="F39" s="18" t="b">
        <f ca="1">ISERROR(VLOOKUP(Table_NamedRanges[[#This Row],[Named Range Paste]],OFFSET(INDEX(Table_ErrorList[],1,1),0,MATCH(Table_ErrorList[[#Headers],[Attention To Named Range]],Table_ErrorList[#Headers],0)-1,ROWS(Table_ErrorList[]),1),1,FALSE))=FALSE</f>
        <v>1</v>
      </c>
      <c r="G39" s="20" t="b">
        <f>MID(Table_NamedRanges[[#This Row],[Reference Text]],2,1)="'"</f>
        <v>1</v>
      </c>
      <c r="H39" s="20">
        <f>(LEN(Table_NamedRanges[[#This Row],[Reference Text]])-LEN(SUBSTITUTE(Table_NamedRanges[[#This Row],[Reference Text]],":","")))/LEN(":")</f>
        <v>0</v>
      </c>
      <c r="I39" s="20" t="b">
        <f>OR(ISERROR(FIND("[",Table_NamedRanges[[#This Row],[Reference Text]],1))=FALSE,ISERROR(FIND("]",Table_NamedRanges[[#This Row],[Reference Text]],1))=FALSE)</f>
        <v>0</v>
      </c>
      <c r="J39" s="20">
        <f>(LEN(Table_NamedRanges[[#This Row],[Reference Text]])-LEN(SUBSTITUTE(Table_NamedRanges[[#This Row],[Reference Text]],",","")))/LEN(",")</f>
        <v>0</v>
      </c>
      <c r="K39" s="20" t="str">
        <f>IF(Table_NamedRanges[[#This Row],[Starts with '']]=FALSE,"Other",IF(AND(Table_NamedRanges[[#This Row],[Count of Colon ":"]]=0,Table_NamedRanges[[#This Row],[Count of ","]]=0),"Single Cell",IF(Table_NamedRanges[[#This Row],[Count of Colon ":"]]=1,"Single Range", "Multiple (Cell or Range)")))</f>
        <v>Single Cell</v>
      </c>
    </row>
    <row r="40" spans="2:11" x14ac:dyDescent="0.25">
      <c r="B40" s="6" t="s">
        <v>214</v>
      </c>
      <c r="C40" s="8" t="s">
        <v>809</v>
      </c>
      <c r="D40" s="18" t="str">
        <f ca="1">IFERROR(INDIRECT(Table_NamedRanges[[#This Row],[Named Range Paste]]),"Undefined/Error")</f>
        <v>Hailey</v>
      </c>
      <c r="E40" s="18" t="str">
        <f>Table_NamedRanges[[#This Row],[Reference Paste]]</f>
        <v>='Travel Expense Summary'!$C$13</v>
      </c>
      <c r="F40" s="18" t="b">
        <f ca="1">ISERROR(VLOOKUP(Table_NamedRanges[[#This Row],[Named Range Paste]],OFFSET(INDEX(Table_ErrorList[],1,1),0,MATCH(Table_ErrorList[[#Headers],[Attention To Named Range]],Table_ErrorList[#Headers],0)-1,ROWS(Table_ErrorList[]),1),1,FALSE))=FALSE</f>
        <v>1</v>
      </c>
      <c r="G40" s="20" t="b">
        <f>MID(Table_NamedRanges[[#This Row],[Reference Text]],2,1)="'"</f>
        <v>1</v>
      </c>
      <c r="H40" s="20">
        <f>(LEN(Table_NamedRanges[[#This Row],[Reference Text]])-LEN(SUBSTITUTE(Table_NamedRanges[[#This Row],[Reference Text]],":","")))/LEN(":")</f>
        <v>0</v>
      </c>
      <c r="I40" s="20" t="b">
        <f>OR(ISERROR(FIND("[",Table_NamedRanges[[#This Row],[Reference Text]],1))=FALSE,ISERROR(FIND("]",Table_NamedRanges[[#This Row],[Reference Text]],1))=FALSE)</f>
        <v>0</v>
      </c>
      <c r="J40" s="20">
        <f>(LEN(Table_NamedRanges[[#This Row],[Reference Text]])-LEN(SUBSTITUTE(Table_NamedRanges[[#This Row],[Reference Text]],",","")))/LEN(",")</f>
        <v>0</v>
      </c>
      <c r="K40" s="20" t="str">
        <f>IF(Table_NamedRanges[[#This Row],[Starts with '']]=FALSE,"Other",IF(AND(Table_NamedRanges[[#This Row],[Count of Colon ":"]]=0,Table_NamedRanges[[#This Row],[Count of ","]]=0),"Single Cell",IF(Table_NamedRanges[[#This Row],[Count of Colon ":"]]=1,"Single Range", "Multiple (Cell or Range)")))</f>
        <v>Single Cell</v>
      </c>
    </row>
    <row r="41" spans="2:11" x14ac:dyDescent="0.25">
      <c r="B41" s="6" t="s">
        <v>218</v>
      </c>
      <c r="C41" s="8" t="s">
        <v>810</v>
      </c>
      <c r="D41" s="18" t="str">
        <f ca="1">IFERROR(INDIRECT(Table_NamedRanges[[#This Row],[Named Range Paste]]),"Undefined/Error")</f>
        <v>Masiero</v>
      </c>
      <c r="E41" s="18" t="str">
        <f>Table_NamedRanges[[#This Row],[Reference Paste]]</f>
        <v>='Travel Expense Summary'!$C$14</v>
      </c>
      <c r="F41" s="18" t="b">
        <f ca="1">ISERROR(VLOOKUP(Table_NamedRanges[[#This Row],[Named Range Paste]],OFFSET(INDEX(Table_ErrorList[],1,1),0,MATCH(Table_ErrorList[[#Headers],[Attention To Named Range]],Table_ErrorList[#Headers],0)-1,ROWS(Table_ErrorList[]),1),1,FALSE))=FALSE</f>
        <v>1</v>
      </c>
      <c r="G41" s="20" t="b">
        <f>MID(Table_NamedRanges[[#This Row],[Reference Text]],2,1)="'"</f>
        <v>1</v>
      </c>
      <c r="H41" s="20">
        <f>(LEN(Table_NamedRanges[[#This Row],[Reference Text]])-LEN(SUBSTITUTE(Table_NamedRanges[[#This Row],[Reference Text]],":","")))/LEN(":")</f>
        <v>0</v>
      </c>
      <c r="I41" s="20" t="b">
        <f>OR(ISERROR(FIND("[",Table_NamedRanges[[#This Row],[Reference Text]],1))=FALSE,ISERROR(FIND("]",Table_NamedRanges[[#This Row],[Reference Text]],1))=FALSE)</f>
        <v>0</v>
      </c>
      <c r="J41" s="20">
        <f>(LEN(Table_NamedRanges[[#This Row],[Reference Text]])-LEN(SUBSTITUTE(Table_NamedRanges[[#This Row],[Reference Text]],",","")))/LEN(",")</f>
        <v>0</v>
      </c>
      <c r="K41" s="20" t="str">
        <f>IF(Table_NamedRanges[[#This Row],[Starts with '']]=FALSE,"Other",IF(AND(Table_NamedRanges[[#This Row],[Count of Colon ":"]]=0,Table_NamedRanges[[#This Row],[Count of ","]]=0),"Single Cell",IF(Table_NamedRanges[[#This Row],[Count of Colon ":"]]=1,"Single Range", "Multiple (Cell or Range)")))</f>
        <v>Single Cell</v>
      </c>
    </row>
    <row r="42" spans="2:11" x14ac:dyDescent="0.25">
      <c r="B42" s="6" t="s">
        <v>221</v>
      </c>
      <c r="C42" s="8" t="s">
        <v>811</v>
      </c>
      <c r="D42" s="18" t="str">
        <f ca="1">IFERROR(INDIRECT(Table_NamedRanges[[#This Row],[Named Range Paste]]),"Undefined/Error")</f>
        <v>935 Ramsey Lake Road</v>
      </c>
      <c r="E42" s="18" t="str">
        <f>Table_NamedRanges[[#This Row],[Reference Paste]]</f>
        <v>='Travel Expense Summary'!$C$15</v>
      </c>
      <c r="F42" s="18" t="b">
        <f ca="1">ISERROR(VLOOKUP(Table_NamedRanges[[#This Row],[Named Range Paste]],OFFSET(INDEX(Table_ErrorList[],1,1),0,MATCH(Table_ErrorList[[#Headers],[Attention To Named Range]],Table_ErrorList[#Headers],0)-1,ROWS(Table_ErrorList[]),1),1,FALSE))=FALSE</f>
        <v>1</v>
      </c>
      <c r="G42" s="20" t="b">
        <f>MID(Table_NamedRanges[[#This Row],[Reference Text]],2,1)="'"</f>
        <v>1</v>
      </c>
      <c r="H42" s="20">
        <f>(LEN(Table_NamedRanges[[#This Row],[Reference Text]])-LEN(SUBSTITUTE(Table_NamedRanges[[#This Row],[Reference Text]],":","")))/LEN(":")</f>
        <v>0</v>
      </c>
      <c r="I42" s="20" t="b">
        <f>OR(ISERROR(FIND("[",Table_NamedRanges[[#This Row],[Reference Text]],1))=FALSE,ISERROR(FIND("]",Table_NamedRanges[[#This Row],[Reference Text]],1))=FALSE)</f>
        <v>0</v>
      </c>
      <c r="J42" s="20">
        <f>(LEN(Table_NamedRanges[[#This Row],[Reference Text]])-LEN(SUBSTITUTE(Table_NamedRanges[[#This Row],[Reference Text]],",","")))/LEN(",")</f>
        <v>0</v>
      </c>
      <c r="K42" s="20" t="str">
        <f>IF(Table_NamedRanges[[#This Row],[Starts with '']]=FALSE,"Other",IF(AND(Table_NamedRanges[[#This Row],[Count of Colon ":"]]=0,Table_NamedRanges[[#This Row],[Count of ","]]=0),"Single Cell",IF(Table_NamedRanges[[#This Row],[Count of Colon ":"]]=1,"Single Range", "Multiple (Cell or Range)")))</f>
        <v>Single Cell</v>
      </c>
    </row>
    <row r="43" spans="2:11" x14ac:dyDescent="0.25">
      <c r="B43" s="6" t="s">
        <v>225</v>
      </c>
      <c r="C43" s="8" t="s">
        <v>812</v>
      </c>
      <c r="D43" s="18" t="str">
        <f ca="1">IFERROR(INDIRECT(Table_NamedRanges[[#This Row],[Named Range Paste]]),"Undefined/Error")</f>
        <v>Sudbury</v>
      </c>
      <c r="E43" s="18" t="str">
        <f>Table_NamedRanges[[#This Row],[Reference Paste]]</f>
        <v>='Travel Expense Summary'!$C$16</v>
      </c>
      <c r="F43" s="18" t="b">
        <f ca="1">ISERROR(VLOOKUP(Table_NamedRanges[[#This Row],[Named Range Paste]],OFFSET(INDEX(Table_ErrorList[],1,1),0,MATCH(Table_ErrorList[[#Headers],[Attention To Named Range]],Table_ErrorList[#Headers],0)-1,ROWS(Table_ErrorList[]),1),1,FALSE))=FALSE</f>
        <v>1</v>
      </c>
      <c r="G43" s="20" t="b">
        <f>MID(Table_NamedRanges[[#This Row],[Reference Text]],2,1)="'"</f>
        <v>1</v>
      </c>
      <c r="H43" s="20">
        <f>(LEN(Table_NamedRanges[[#This Row],[Reference Text]])-LEN(SUBSTITUTE(Table_NamedRanges[[#This Row],[Reference Text]],":","")))/LEN(":")</f>
        <v>0</v>
      </c>
      <c r="I43" s="20" t="b">
        <f>OR(ISERROR(FIND("[",Table_NamedRanges[[#This Row],[Reference Text]],1))=FALSE,ISERROR(FIND("]",Table_NamedRanges[[#This Row],[Reference Text]],1))=FALSE)</f>
        <v>0</v>
      </c>
      <c r="J43" s="20">
        <f>(LEN(Table_NamedRanges[[#This Row],[Reference Text]])-LEN(SUBSTITUTE(Table_NamedRanges[[#This Row],[Reference Text]],",","")))/LEN(",")</f>
        <v>0</v>
      </c>
      <c r="K43" s="20" t="str">
        <f>IF(Table_NamedRanges[[#This Row],[Starts with '']]=FALSE,"Other",IF(AND(Table_NamedRanges[[#This Row],[Count of Colon ":"]]=0,Table_NamedRanges[[#This Row],[Count of ","]]=0),"Single Cell",IF(Table_NamedRanges[[#This Row],[Count of Colon ":"]]=1,"Single Range", "Multiple (Cell or Range)")))</f>
        <v>Single Cell</v>
      </c>
    </row>
    <row r="44" spans="2:11" x14ac:dyDescent="0.25">
      <c r="B44" s="6" t="s">
        <v>228</v>
      </c>
      <c r="C44" s="8" t="s">
        <v>813</v>
      </c>
      <c r="D44" s="18" t="str">
        <f ca="1">IFERROR(INDIRECT(Table_NamedRanges[[#This Row],[Named Range Paste]]),"Undefined/Error")</f>
        <v>ON</v>
      </c>
      <c r="E44" s="18" t="str">
        <f>Table_NamedRanges[[#This Row],[Reference Paste]]</f>
        <v>='Travel Expense Summary'!$C$17</v>
      </c>
      <c r="F44" s="18" t="b">
        <f ca="1">ISERROR(VLOOKUP(Table_NamedRanges[[#This Row],[Named Range Paste]],OFFSET(INDEX(Table_ErrorList[],1,1),0,MATCH(Table_ErrorList[[#Headers],[Attention To Named Range]],Table_ErrorList[#Headers],0)-1,ROWS(Table_ErrorList[]),1),1,FALSE))=FALSE</f>
        <v>1</v>
      </c>
      <c r="G44" s="20" t="b">
        <f>MID(Table_NamedRanges[[#This Row],[Reference Text]],2,1)="'"</f>
        <v>1</v>
      </c>
      <c r="H44" s="20">
        <f>(LEN(Table_NamedRanges[[#This Row],[Reference Text]])-LEN(SUBSTITUTE(Table_NamedRanges[[#This Row],[Reference Text]],":","")))/LEN(":")</f>
        <v>0</v>
      </c>
      <c r="I44" s="20" t="b">
        <f>OR(ISERROR(FIND("[",Table_NamedRanges[[#This Row],[Reference Text]],1))=FALSE,ISERROR(FIND("]",Table_NamedRanges[[#This Row],[Reference Text]],1))=FALSE)</f>
        <v>0</v>
      </c>
      <c r="J44" s="20">
        <f>(LEN(Table_NamedRanges[[#This Row],[Reference Text]])-LEN(SUBSTITUTE(Table_NamedRanges[[#This Row],[Reference Text]],",","")))/LEN(",")</f>
        <v>0</v>
      </c>
      <c r="K44" s="20" t="str">
        <f>IF(Table_NamedRanges[[#This Row],[Starts with '']]=FALSE,"Other",IF(AND(Table_NamedRanges[[#This Row],[Count of Colon ":"]]=0,Table_NamedRanges[[#This Row],[Count of ","]]=0),"Single Cell",IF(Table_NamedRanges[[#This Row],[Count of Colon ":"]]=1,"Single Range", "Multiple (Cell or Range)")))</f>
        <v>Single Cell</v>
      </c>
    </row>
    <row r="45" spans="2:11" x14ac:dyDescent="0.25">
      <c r="B45" s="6" t="s">
        <v>233</v>
      </c>
      <c r="C45" s="8" t="s">
        <v>814</v>
      </c>
      <c r="D45" s="18" t="str">
        <f ca="1">IFERROR(INDIRECT(Table_NamedRanges[[#This Row],[Named Range Paste]]),"Undefined/Error")</f>
        <v>P3C 0C7</v>
      </c>
      <c r="E45" s="18" t="str">
        <f>Table_NamedRanges[[#This Row],[Reference Paste]]</f>
        <v>='Travel Expense Summary'!$E$17</v>
      </c>
      <c r="F45" s="18" t="b">
        <f ca="1">ISERROR(VLOOKUP(Table_NamedRanges[[#This Row],[Named Range Paste]],OFFSET(INDEX(Table_ErrorList[],1,1),0,MATCH(Table_ErrorList[[#Headers],[Attention To Named Range]],Table_ErrorList[#Headers],0)-1,ROWS(Table_ErrorList[]),1),1,FALSE))=FALSE</f>
        <v>1</v>
      </c>
      <c r="G45" s="20" t="b">
        <f>MID(Table_NamedRanges[[#This Row],[Reference Text]],2,1)="'"</f>
        <v>1</v>
      </c>
      <c r="H45" s="20">
        <f>(LEN(Table_NamedRanges[[#This Row],[Reference Text]])-LEN(SUBSTITUTE(Table_NamedRanges[[#This Row],[Reference Text]],":","")))/LEN(":")</f>
        <v>0</v>
      </c>
      <c r="I45" s="20" t="b">
        <f>OR(ISERROR(FIND("[",Table_NamedRanges[[#This Row],[Reference Text]],1))=FALSE,ISERROR(FIND("]",Table_NamedRanges[[#This Row],[Reference Text]],1))=FALSE)</f>
        <v>0</v>
      </c>
      <c r="J45" s="20">
        <f>(LEN(Table_NamedRanges[[#This Row],[Reference Text]])-LEN(SUBSTITUTE(Table_NamedRanges[[#This Row],[Reference Text]],",","")))/LEN(",")</f>
        <v>0</v>
      </c>
      <c r="K45" s="20" t="str">
        <f>IF(Table_NamedRanges[[#This Row],[Starts with '']]=FALSE,"Other",IF(AND(Table_NamedRanges[[#This Row],[Count of Colon ":"]]=0,Table_NamedRanges[[#This Row],[Count of ","]]=0),"Single Cell",IF(Table_NamedRanges[[#This Row],[Count of Colon ":"]]=1,"Single Range", "Multiple (Cell or Range)")))</f>
        <v>Single Cell</v>
      </c>
    </row>
    <row r="46" spans="2:11" x14ac:dyDescent="0.25">
      <c r="B46" s="6" t="s">
        <v>240</v>
      </c>
      <c r="C46" s="8" t="s">
        <v>815</v>
      </c>
      <c r="D46" s="18" t="str">
        <f ca="1">IFERROR(INDIRECT(Table_NamedRanges[[#This Row],[Named Range Paste]]),"Undefined/Error")</f>
        <v>Home</v>
      </c>
      <c r="E46" s="18" t="str">
        <f>Table_NamedRanges[[#This Row],[Reference Paste]]</f>
        <v>='Travel Expense Summary'!$C$18</v>
      </c>
      <c r="F46" s="18" t="b">
        <f ca="1">ISERROR(VLOOKUP(Table_NamedRanges[[#This Row],[Named Range Paste]],OFFSET(INDEX(Table_ErrorList[],1,1),0,MATCH(Table_ErrorList[[#Headers],[Attention To Named Range]],Table_ErrorList[#Headers],0)-1,ROWS(Table_ErrorList[]),1),1,FALSE))=FALSE</f>
        <v>1</v>
      </c>
      <c r="G46" s="20" t="b">
        <f>MID(Table_NamedRanges[[#This Row],[Reference Text]],2,1)="'"</f>
        <v>1</v>
      </c>
      <c r="H46" s="20">
        <f>(LEN(Table_NamedRanges[[#This Row],[Reference Text]])-LEN(SUBSTITUTE(Table_NamedRanges[[#This Row],[Reference Text]],":","")))/LEN(":")</f>
        <v>0</v>
      </c>
      <c r="I46" s="20" t="b">
        <f>OR(ISERROR(FIND("[",Table_NamedRanges[[#This Row],[Reference Text]],1))=FALSE,ISERROR(FIND("]",Table_NamedRanges[[#This Row],[Reference Text]],1))=FALSE)</f>
        <v>0</v>
      </c>
      <c r="J46" s="20">
        <f>(LEN(Table_NamedRanges[[#This Row],[Reference Text]])-LEN(SUBSTITUTE(Table_NamedRanges[[#This Row],[Reference Text]],",","")))/LEN(",")</f>
        <v>0</v>
      </c>
      <c r="K46" s="20" t="str">
        <f>IF(Table_NamedRanges[[#This Row],[Starts with '']]=FALSE,"Other",IF(AND(Table_NamedRanges[[#This Row],[Count of Colon ":"]]=0,Table_NamedRanges[[#This Row],[Count of ","]]=0),"Single Cell",IF(Table_NamedRanges[[#This Row],[Count of Colon ":"]]=1,"Single Range", "Multiple (Cell or Range)")))</f>
        <v>Single Cell</v>
      </c>
    </row>
    <row r="47" spans="2:11" x14ac:dyDescent="0.25">
      <c r="B47" s="6" t="s">
        <v>244</v>
      </c>
      <c r="C47" s="8" t="s">
        <v>816</v>
      </c>
      <c r="D47" s="18" t="str">
        <f ca="1">IFERROR(INDIRECT(Table_NamedRanges[[#This Row],[Named Range Paste]]),"Undefined/Error")</f>
        <v>hsplacements@nosm.ca</v>
      </c>
      <c r="E47" s="18" t="str">
        <f>Table_NamedRanges[[#This Row],[Reference Paste]]</f>
        <v>='Travel Expense Summary'!$C$19</v>
      </c>
      <c r="F47" s="18" t="b">
        <f ca="1">ISERROR(VLOOKUP(Table_NamedRanges[[#This Row],[Named Range Paste]],OFFSET(INDEX(Table_ErrorList[],1,1),0,MATCH(Table_ErrorList[[#Headers],[Attention To Named Range]],Table_ErrorList[#Headers],0)-1,ROWS(Table_ErrorList[]),1),1,FALSE))=FALSE</f>
        <v>1</v>
      </c>
      <c r="G47" s="20" t="b">
        <f>MID(Table_NamedRanges[[#This Row],[Reference Text]],2,1)="'"</f>
        <v>1</v>
      </c>
      <c r="H47" s="20">
        <f>(LEN(Table_NamedRanges[[#This Row],[Reference Text]])-LEN(SUBSTITUTE(Table_NamedRanges[[#This Row],[Reference Text]],":","")))/LEN(":")</f>
        <v>0</v>
      </c>
      <c r="I47" s="20" t="b">
        <f>OR(ISERROR(FIND("[",Table_NamedRanges[[#This Row],[Reference Text]],1))=FALSE,ISERROR(FIND("]",Table_NamedRanges[[#This Row],[Reference Text]],1))=FALSE)</f>
        <v>0</v>
      </c>
      <c r="J47" s="20">
        <f>(LEN(Table_NamedRanges[[#This Row],[Reference Text]])-LEN(SUBSTITUTE(Table_NamedRanges[[#This Row],[Reference Text]],",","")))/LEN(",")</f>
        <v>0</v>
      </c>
      <c r="K47" s="20" t="str">
        <f>IF(Table_NamedRanges[[#This Row],[Starts with '']]=FALSE,"Other",IF(AND(Table_NamedRanges[[#This Row],[Count of Colon ":"]]=0,Table_NamedRanges[[#This Row],[Count of ","]]=0),"Single Cell",IF(Table_NamedRanges[[#This Row],[Count of Colon ":"]]=1,"Single Range", "Multiple (Cell or Range)")))</f>
        <v>Single Cell</v>
      </c>
    </row>
    <row r="48" spans="2:11" x14ac:dyDescent="0.25">
      <c r="B48" s="6" t="s">
        <v>249</v>
      </c>
      <c r="C48" s="8" t="s">
        <v>817</v>
      </c>
      <c r="D48" s="18">
        <f ca="1">IFERROR(INDIRECT(Table_NamedRanges[[#This Row],[Named Range Paste]]),"Undefined/Error")</f>
        <v>0</v>
      </c>
      <c r="E48" s="18" t="str">
        <f>Table_NamedRanges[[#This Row],[Reference Paste]]</f>
        <v>='Travel Expense Summary'!$C$20</v>
      </c>
      <c r="F48" s="18" t="b">
        <f ca="1">ISERROR(VLOOKUP(Table_NamedRanges[[#This Row],[Named Range Paste]],OFFSET(INDEX(Table_ErrorList[],1,1),0,MATCH(Table_ErrorList[[#Headers],[Attention To Named Range]],Table_ErrorList[#Headers],0)-1,ROWS(Table_ErrorList[]),1),1,FALSE))=FALSE</f>
        <v>1</v>
      </c>
      <c r="G48" s="20" t="b">
        <f>MID(Table_NamedRanges[[#This Row],[Reference Text]],2,1)="'"</f>
        <v>1</v>
      </c>
      <c r="H48" s="20">
        <f>(LEN(Table_NamedRanges[[#This Row],[Reference Text]])-LEN(SUBSTITUTE(Table_NamedRanges[[#This Row],[Reference Text]],":","")))/LEN(":")</f>
        <v>0</v>
      </c>
      <c r="I48" s="20" t="b">
        <f>OR(ISERROR(FIND("[",Table_NamedRanges[[#This Row],[Reference Text]],1))=FALSE,ISERROR(FIND("]",Table_NamedRanges[[#This Row],[Reference Text]],1))=FALSE)</f>
        <v>0</v>
      </c>
      <c r="J48" s="20">
        <f>(LEN(Table_NamedRanges[[#This Row],[Reference Text]])-LEN(SUBSTITUTE(Table_NamedRanges[[#This Row],[Reference Text]],",","")))/LEN(",")</f>
        <v>0</v>
      </c>
      <c r="K48" s="20" t="str">
        <f>IF(Table_NamedRanges[[#This Row],[Starts with '']]=FALSE,"Other",IF(AND(Table_NamedRanges[[#This Row],[Count of Colon ":"]]=0,Table_NamedRanges[[#This Row],[Count of ","]]=0),"Single Cell",IF(Table_NamedRanges[[#This Row],[Count of Colon ":"]]=1,"Single Range", "Multiple (Cell or Range)")))</f>
        <v>Single Cell</v>
      </c>
    </row>
    <row r="49" spans="2:11" x14ac:dyDescent="0.25">
      <c r="B49" s="6" t="s">
        <v>254</v>
      </c>
      <c r="C49" s="8" t="s">
        <v>818</v>
      </c>
      <c r="D49" s="18">
        <f ca="1">IFERROR(INDIRECT(Table_NamedRanges[[#This Row],[Named Range Paste]]),"Undefined/Error")</f>
        <v>7056754883</v>
      </c>
      <c r="E49" s="18" t="str">
        <f>Table_NamedRanges[[#This Row],[Reference Paste]]</f>
        <v>='Travel Expense Summary'!$E$20</v>
      </c>
      <c r="F49" s="18" t="b">
        <f ca="1">ISERROR(VLOOKUP(Table_NamedRanges[[#This Row],[Named Range Paste]],OFFSET(INDEX(Table_ErrorList[],1,1),0,MATCH(Table_ErrorList[[#Headers],[Attention To Named Range]],Table_ErrorList[#Headers],0)-1,ROWS(Table_ErrorList[]),1),1,FALSE))=FALSE</f>
        <v>1</v>
      </c>
      <c r="G49" s="20" t="b">
        <f>MID(Table_NamedRanges[[#This Row],[Reference Text]],2,1)="'"</f>
        <v>1</v>
      </c>
      <c r="H49" s="20">
        <f>(LEN(Table_NamedRanges[[#This Row],[Reference Text]])-LEN(SUBSTITUTE(Table_NamedRanges[[#This Row],[Reference Text]],":","")))/LEN(":")</f>
        <v>0</v>
      </c>
      <c r="I49" s="20" t="b">
        <f>OR(ISERROR(FIND("[",Table_NamedRanges[[#This Row],[Reference Text]],1))=FALSE,ISERROR(FIND("]",Table_NamedRanges[[#This Row],[Reference Text]],1))=FALSE)</f>
        <v>0</v>
      </c>
      <c r="J49" s="20">
        <f>(LEN(Table_NamedRanges[[#This Row],[Reference Text]])-LEN(SUBSTITUTE(Table_NamedRanges[[#This Row],[Reference Text]],",","")))/LEN(",")</f>
        <v>0</v>
      </c>
      <c r="K49" s="20" t="str">
        <f>IF(Table_NamedRanges[[#This Row],[Starts with '']]=FALSE,"Other",IF(AND(Table_NamedRanges[[#This Row],[Count of Colon ":"]]=0,Table_NamedRanges[[#This Row],[Count of ","]]=0),"Single Cell",IF(Table_NamedRanges[[#This Row],[Count of Colon ":"]]=1,"Single Range", "Multiple (Cell or Range)")))</f>
        <v>Single Cell</v>
      </c>
    </row>
    <row r="50" spans="2:11" ht="30" x14ac:dyDescent="0.25">
      <c r="B50" s="6" t="s">
        <v>259</v>
      </c>
      <c r="C50" s="8" t="s">
        <v>819</v>
      </c>
      <c r="D50" s="18" t="str">
        <f ca="1">IFERROR(INDIRECT(Table_NamedRanges[[#This Row],[Named Range Paste]]),"Undefined/Error")</f>
        <v>Postgraduate Education (PGE)</v>
      </c>
      <c r="E50" s="18" t="str">
        <f>Table_NamedRanges[[#This Row],[Reference Paste]]</f>
        <v>='Travel Expense Summary'!$C$21</v>
      </c>
      <c r="F50" s="18" t="b">
        <f ca="1">ISERROR(VLOOKUP(Table_NamedRanges[[#This Row],[Named Range Paste]],OFFSET(INDEX(Table_ErrorList[],1,1),0,MATCH(Table_ErrorList[[#Headers],[Attention To Named Range]],Table_ErrorList[#Headers],0)-1,ROWS(Table_ErrorList[]),1),1,FALSE))=FALSE</f>
        <v>1</v>
      </c>
      <c r="G50" s="20" t="b">
        <f>MID(Table_NamedRanges[[#This Row],[Reference Text]],2,1)="'"</f>
        <v>1</v>
      </c>
      <c r="H50" s="20">
        <f>(LEN(Table_NamedRanges[[#This Row],[Reference Text]])-LEN(SUBSTITUTE(Table_NamedRanges[[#This Row],[Reference Text]],":","")))/LEN(":")</f>
        <v>0</v>
      </c>
      <c r="I50" s="20" t="b">
        <f>OR(ISERROR(FIND("[",Table_NamedRanges[[#This Row],[Reference Text]],1))=FALSE,ISERROR(FIND("]",Table_NamedRanges[[#This Row],[Reference Text]],1))=FALSE)</f>
        <v>0</v>
      </c>
      <c r="J50" s="20">
        <f>(LEN(Table_NamedRanges[[#This Row],[Reference Text]])-LEN(SUBSTITUTE(Table_NamedRanges[[#This Row],[Reference Text]],",","")))/LEN(",")</f>
        <v>0</v>
      </c>
      <c r="K50" s="20" t="str">
        <f>IF(Table_NamedRanges[[#This Row],[Starts with '']]=FALSE,"Other",IF(AND(Table_NamedRanges[[#This Row],[Count of Colon ":"]]=0,Table_NamedRanges[[#This Row],[Count of ","]]=0),"Single Cell",IF(Table_NamedRanges[[#This Row],[Count of Colon ":"]]=1,"Single Range", "Multiple (Cell or Range)")))</f>
        <v>Single Cell</v>
      </c>
    </row>
    <row r="51" spans="2:11" x14ac:dyDescent="0.25">
      <c r="B51" s="6" t="s">
        <v>263</v>
      </c>
      <c r="C51" s="8" t="s">
        <v>820</v>
      </c>
      <c r="D51" s="18" t="str">
        <f ca="1">IFERROR(INDIRECT(Table_NamedRanges[[#This Row],[Named Range Paste]]),"Undefined/Error")</f>
        <v>HS &amp; IPE Learner</v>
      </c>
      <c r="E51" s="18" t="str">
        <f>Table_NamedRanges[[#This Row],[Reference Paste]]</f>
        <v>='Travel Expense Summary'!$C$22</v>
      </c>
      <c r="F51" s="18" t="b">
        <f ca="1">ISERROR(VLOOKUP(Table_NamedRanges[[#This Row],[Named Range Paste]],OFFSET(INDEX(Table_ErrorList[],1,1),0,MATCH(Table_ErrorList[[#Headers],[Attention To Named Range]],Table_ErrorList[#Headers],0)-1,ROWS(Table_ErrorList[]),1),1,FALSE))=FALSE</f>
        <v>1</v>
      </c>
      <c r="G51" s="20" t="b">
        <f>MID(Table_NamedRanges[[#This Row],[Reference Text]],2,1)="'"</f>
        <v>1</v>
      </c>
      <c r="H51" s="20">
        <f>(LEN(Table_NamedRanges[[#This Row],[Reference Text]])-LEN(SUBSTITUTE(Table_NamedRanges[[#This Row],[Reference Text]],":","")))/LEN(":")</f>
        <v>0</v>
      </c>
      <c r="I51" s="20" t="b">
        <f>OR(ISERROR(FIND("[",Table_NamedRanges[[#This Row],[Reference Text]],1))=FALSE,ISERROR(FIND("]",Table_NamedRanges[[#This Row],[Reference Text]],1))=FALSE)</f>
        <v>0</v>
      </c>
      <c r="J51" s="20">
        <f>(LEN(Table_NamedRanges[[#This Row],[Reference Text]])-LEN(SUBSTITUTE(Table_NamedRanges[[#This Row],[Reference Text]],",","")))/LEN(",")</f>
        <v>0</v>
      </c>
      <c r="K51" s="20" t="str">
        <f>IF(Table_NamedRanges[[#This Row],[Starts with '']]=FALSE,"Other",IF(AND(Table_NamedRanges[[#This Row],[Count of Colon ":"]]=0,Table_NamedRanges[[#This Row],[Count of ","]]=0),"Single Cell",IF(Table_NamedRanges[[#This Row],[Count of Colon ":"]]=1,"Single Range", "Multiple (Cell or Range)")))</f>
        <v>Single Cell</v>
      </c>
    </row>
    <row r="52" spans="2:11" ht="30" x14ac:dyDescent="0.25">
      <c r="B52" s="6" t="s">
        <v>270</v>
      </c>
      <c r="C52" s="8" t="s">
        <v>821</v>
      </c>
      <c r="D52" s="18" t="str">
        <f ca="1">IFERROR(INDIRECT(Table_NamedRanges[[#This Row],[Named Range Paste]]),"Undefined/Error")</f>
        <v>Direct Deposit 
(previously submitted)</v>
      </c>
      <c r="E52" s="18" t="str">
        <f>Table_NamedRanges[[#This Row],[Reference Paste]]</f>
        <v>='Travel Expense Summary'!$C$23</v>
      </c>
      <c r="F52" s="18" t="b">
        <f ca="1">ISERROR(VLOOKUP(Table_NamedRanges[[#This Row],[Named Range Paste]],OFFSET(INDEX(Table_ErrorList[],1,1),0,MATCH(Table_ErrorList[[#Headers],[Attention To Named Range]],Table_ErrorList[#Headers],0)-1,ROWS(Table_ErrorList[]),1),1,FALSE))=FALSE</f>
        <v>1</v>
      </c>
      <c r="G52" s="20" t="b">
        <f>MID(Table_NamedRanges[[#This Row],[Reference Text]],2,1)="'"</f>
        <v>1</v>
      </c>
      <c r="H52" s="20">
        <f>(LEN(Table_NamedRanges[[#This Row],[Reference Text]])-LEN(SUBSTITUTE(Table_NamedRanges[[#This Row],[Reference Text]],":","")))/LEN(":")</f>
        <v>0</v>
      </c>
      <c r="I52" s="20" t="b">
        <f>OR(ISERROR(FIND("[",Table_NamedRanges[[#This Row],[Reference Text]],1))=FALSE,ISERROR(FIND("]",Table_NamedRanges[[#This Row],[Reference Text]],1))=FALSE)</f>
        <v>0</v>
      </c>
      <c r="J52" s="20">
        <f>(LEN(Table_NamedRanges[[#This Row],[Reference Text]])-LEN(SUBSTITUTE(Table_NamedRanges[[#This Row],[Reference Text]],",","")))/LEN(",")</f>
        <v>0</v>
      </c>
      <c r="K52" s="20" t="str">
        <f>IF(Table_NamedRanges[[#This Row],[Starts with '']]=FALSE,"Other",IF(AND(Table_NamedRanges[[#This Row],[Count of Colon ":"]]=0,Table_NamedRanges[[#This Row],[Count of ","]]=0),"Single Cell",IF(Table_NamedRanges[[#This Row],[Count of Colon ":"]]=1,"Single Range", "Multiple (Cell or Range)")))</f>
        <v>Single Cell</v>
      </c>
    </row>
    <row r="53" spans="2:11" x14ac:dyDescent="0.25">
      <c r="B53" s="6" t="s">
        <v>274</v>
      </c>
      <c r="C53" s="8" t="s">
        <v>822</v>
      </c>
      <c r="D53" s="18" t="str">
        <f ca="1">IFERROR(INDIRECT(Table_NamedRanges[[#This Row],[Named Range Paste]]),"Undefined/Error")</f>
        <v>Toronto</v>
      </c>
      <c r="E53" s="18" t="str">
        <f>Table_NamedRanges[[#This Row],[Reference Paste]]</f>
        <v>='Travel Expense Summary'!$C$27</v>
      </c>
      <c r="F53" s="18" t="b">
        <f ca="1">ISERROR(VLOOKUP(Table_NamedRanges[[#This Row],[Named Range Paste]],OFFSET(INDEX(Table_ErrorList[],1,1),0,MATCH(Table_ErrorList[[#Headers],[Attention To Named Range]],Table_ErrorList[#Headers],0)-1,ROWS(Table_ErrorList[]),1),1,FALSE))=FALSE</f>
        <v>1</v>
      </c>
      <c r="G53" s="20" t="b">
        <f>MID(Table_NamedRanges[[#This Row],[Reference Text]],2,1)="'"</f>
        <v>1</v>
      </c>
      <c r="H53" s="20">
        <f>(LEN(Table_NamedRanges[[#This Row],[Reference Text]])-LEN(SUBSTITUTE(Table_NamedRanges[[#This Row],[Reference Text]],":","")))/LEN(":")</f>
        <v>0</v>
      </c>
      <c r="I53" s="20" t="b">
        <f>OR(ISERROR(FIND("[",Table_NamedRanges[[#This Row],[Reference Text]],1))=FALSE,ISERROR(FIND("]",Table_NamedRanges[[#This Row],[Reference Text]],1))=FALSE)</f>
        <v>0</v>
      </c>
      <c r="J53" s="20">
        <f>(LEN(Table_NamedRanges[[#This Row],[Reference Text]])-LEN(SUBSTITUTE(Table_NamedRanges[[#This Row],[Reference Text]],",","")))/LEN(",")</f>
        <v>0</v>
      </c>
      <c r="K53" s="20" t="str">
        <f>IF(Table_NamedRanges[[#This Row],[Starts with '']]=FALSE,"Other",IF(AND(Table_NamedRanges[[#This Row],[Count of Colon ":"]]=0,Table_NamedRanges[[#This Row],[Count of ","]]=0),"Single Cell",IF(Table_NamedRanges[[#This Row],[Count of Colon ":"]]=1,"Single Range", "Multiple (Cell or Range)")))</f>
        <v>Single Cell</v>
      </c>
    </row>
    <row r="54" spans="2:11" x14ac:dyDescent="0.25">
      <c r="B54" s="6" t="s">
        <v>278</v>
      </c>
      <c r="C54" s="8" t="s">
        <v>823</v>
      </c>
      <c r="D54" s="18" t="str">
        <f ca="1">IFERROR(INDIRECT(Table_NamedRanges[[#This Row],[Named Range Paste]]),"Undefined/Error")</f>
        <v>Thunder Bay</v>
      </c>
      <c r="E54" s="18" t="str">
        <f>Table_NamedRanges[[#This Row],[Reference Paste]]</f>
        <v>='Travel Expense Summary'!$C$28</v>
      </c>
      <c r="F54" s="18" t="b">
        <f ca="1">ISERROR(VLOOKUP(Table_NamedRanges[[#This Row],[Named Range Paste]],OFFSET(INDEX(Table_ErrorList[],1,1),0,MATCH(Table_ErrorList[[#Headers],[Attention To Named Range]],Table_ErrorList[#Headers],0)-1,ROWS(Table_ErrorList[]),1),1,FALSE))=FALSE</f>
        <v>1</v>
      </c>
      <c r="G54" s="20" t="b">
        <f>MID(Table_NamedRanges[[#This Row],[Reference Text]],2,1)="'"</f>
        <v>1</v>
      </c>
      <c r="H54" s="20">
        <f>(LEN(Table_NamedRanges[[#This Row],[Reference Text]])-LEN(SUBSTITUTE(Table_NamedRanges[[#This Row],[Reference Text]],":","")))/LEN(":")</f>
        <v>0</v>
      </c>
      <c r="I54" s="20" t="b">
        <f>OR(ISERROR(FIND("[",Table_NamedRanges[[#This Row],[Reference Text]],1))=FALSE,ISERROR(FIND("]",Table_NamedRanges[[#This Row],[Reference Text]],1))=FALSE)</f>
        <v>0</v>
      </c>
      <c r="J54" s="20">
        <f>(LEN(Table_NamedRanges[[#This Row],[Reference Text]])-LEN(SUBSTITUTE(Table_NamedRanges[[#This Row],[Reference Text]],",","")))/LEN(",")</f>
        <v>0</v>
      </c>
      <c r="K54" s="20" t="str">
        <f>IF(Table_NamedRanges[[#This Row],[Starts with '']]=FALSE,"Other",IF(AND(Table_NamedRanges[[#This Row],[Count of Colon ":"]]=0,Table_NamedRanges[[#This Row],[Count of ","]]=0),"Single Cell",IF(Table_NamedRanges[[#This Row],[Count of Colon ":"]]=1,"Single Range", "Multiple (Cell or Range)")))</f>
        <v>Single Cell</v>
      </c>
    </row>
    <row r="55" spans="2:11" x14ac:dyDescent="0.25">
      <c r="B55" s="6" t="s">
        <v>282</v>
      </c>
      <c r="C55" s="8" t="s">
        <v>824</v>
      </c>
      <c r="D55" s="18" t="str">
        <f ca="1">IFERROR(INDIRECT(Table_NamedRanges[[#This Row],[Named Range Paste]]),"Undefined/Error")</f>
        <v>Domestic (Ontario only)</v>
      </c>
      <c r="E55" s="18" t="str">
        <f>Table_NamedRanges[[#This Row],[Reference Paste]]</f>
        <v>='Travel Expense Summary'!$C$29</v>
      </c>
      <c r="F55" s="18" t="b">
        <f ca="1">ISERROR(VLOOKUP(Table_NamedRanges[[#This Row],[Named Range Paste]],OFFSET(INDEX(Table_ErrorList[],1,1),0,MATCH(Table_ErrorList[[#Headers],[Attention To Named Range]],Table_ErrorList[#Headers],0)-1,ROWS(Table_ErrorList[]),1),1,FALSE))=FALSE</f>
        <v>1</v>
      </c>
      <c r="G55" s="20" t="b">
        <f>MID(Table_NamedRanges[[#This Row],[Reference Text]],2,1)="'"</f>
        <v>1</v>
      </c>
      <c r="H55" s="20">
        <f>(LEN(Table_NamedRanges[[#This Row],[Reference Text]])-LEN(SUBSTITUTE(Table_NamedRanges[[#This Row],[Reference Text]],":","")))/LEN(":")</f>
        <v>0</v>
      </c>
      <c r="I55" s="20" t="b">
        <f>OR(ISERROR(FIND("[",Table_NamedRanges[[#This Row],[Reference Text]],1))=FALSE,ISERROR(FIND("]",Table_NamedRanges[[#This Row],[Reference Text]],1))=FALSE)</f>
        <v>0</v>
      </c>
      <c r="J55" s="20">
        <f>(LEN(Table_NamedRanges[[#This Row],[Reference Text]])-LEN(SUBSTITUTE(Table_NamedRanges[[#This Row],[Reference Text]],",","")))/LEN(",")</f>
        <v>0</v>
      </c>
      <c r="K55" s="20" t="str">
        <f>IF(Table_NamedRanges[[#This Row],[Starts with '']]=FALSE,"Other",IF(AND(Table_NamedRanges[[#This Row],[Count of Colon ":"]]=0,Table_NamedRanges[[#This Row],[Count of ","]]=0),"Single Cell",IF(Table_NamedRanges[[#This Row],[Count of Colon ":"]]=1,"Single Range", "Multiple (Cell or Range)")))</f>
        <v>Single Cell</v>
      </c>
    </row>
    <row r="56" spans="2:11" x14ac:dyDescent="0.25">
      <c r="B56" s="6" t="s">
        <v>287</v>
      </c>
      <c r="C56" s="8" t="s">
        <v>825</v>
      </c>
      <c r="D56" s="18" t="str">
        <f ca="1">IFERROR(INDIRECT(Table_NamedRanges[[#This Row],[Named Range Paste]]),"Undefined/Error")</f>
        <v>Round-trip</v>
      </c>
      <c r="E56" s="18" t="str">
        <f>Table_NamedRanges[[#This Row],[Reference Paste]]</f>
        <v>='Travel Expense Summary'!$C$30</v>
      </c>
      <c r="F56" s="18" t="b">
        <f ca="1">ISERROR(VLOOKUP(Table_NamedRanges[[#This Row],[Named Range Paste]],OFFSET(INDEX(Table_ErrorList[],1,1),0,MATCH(Table_ErrorList[[#Headers],[Attention To Named Range]],Table_ErrorList[#Headers],0)-1,ROWS(Table_ErrorList[]),1),1,FALSE))=FALSE</f>
        <v>1</v>
      </c>
      <c r="G56" s="20" t="b">
        <f>MID(Table_NamedRanges[[#This Row],[Reference Text]],2,1)="'"</f>
        <v>1</v>
      </c>
      <c r="H56" s="20">
        <f>(LEN(Table_NamedRanges[[#This Row],[Reference Text]])-LEN(SUBSTITUTE(Table_NamedRanges[[#This Row],[Reference Text]],":","")))/LEN(":")</f>
        <v>0</v>
      </c>
      <c r="I56" s="20" t="b">
        <f>OR(ISERROR(FIND("[",Table_NamedRanges[[#This Row],[Reference Text]],1))=FALSE,ISERROR(FIND("]",Table_NamedRanges[[#This Row],[Reference Text]],1))=FALSE)</f>
        <v>0</v>
      </c>
      <c r="J56" s="20">
        <f>(LEN(Table_NamedRanges[[#This Row],[Reference Text]])-LEN(SUBSTITUTE(Table_NamedRanges[[#This Row],[Reference Text]],",","")))/LEN(",")</f>
        <v>0</v>
      </c>
      <c r="K56" s="20" t="str">
        <f>IF(Table_NamedRanges[[#This Row],[Starts with '']]=FALSE,"Other",IF(AND(Table_NamedRanges[[#This Row],[Count of Colon ":"]]=0,Table_NamedRanges[[#This Row],[Count of ","]]=0),"Single Cell",IF(Table_NamedRanges[[#This Row],[Count of Colon ":"]]=1,"Single Range", "Multiple (Cell or Range)")))</f>
        <v>Single Cell</v>
      </c>
    </row>
    <row r="57" spans="2:11" x14ac:dyDescent="0.25">
      <c r="B57" s="6" t="s">
        <v>292</v>
      </c>
      <c r="C57" s="8" t="s">
        <v>826</v>
      </c>
      <c r="D57" s="18">
        <f ca="1">IFERROR(INDIRECT(Table_NamedRanges[[#This Row],[Named Range Paste]]),"Undefined/Error")</f>
        <v>43556</v>
      </c>
      <c r="E57" s="18" t="str">
        <f>Table_NamedRanges[[#This Row],[Reference Paste]]</f>
        <v>='Travel Expense Summary'!$C$31</v>
      </c>
      <c r="F57" s="18" t="b">
        <f ca="1">ISERROR(VLOOKUP(Table_NamedRanges[[#This Row],[Named Range Paste]],OFFSET(INDEX(Table_ErrorList[],1,1),0,MATCH(Table_ErrorList[[#Headers],[Attention To Named Range]],Table_ErrorList[#Headers],0)-1,ROWS(Table_ErrorList[]),1),1,FALSE))=FALSE</f>
        <v>1</v>
      </c>
      <c r="G57" s="20" t="b">
        <f>MID(Table_NamedRanges[[#This Row],[Reference Text]],2,1)="'"</f>
        <v>1</v>
      </c>
      <c r="H57" s="20">
        <f>(LEN(Table_NamedRanges[[#This Row],[Reference Text]])-LEN(SUBSTITUTE(Table_NamedRanges[[#This Row],[Reference Text]],":","")))/LEN(":")</f>
        <v>0</v>
      </c>
      <c r="I57" s="20" t="b">
        <f>OR(ISERROR(FIND("[",Table_NamedRanges[[#This Row],[Reference Text]],1))=FALSE,ISERROR(FIND("]",Table_NamedRanges[[#This Row],[Reference Text]],1))=FALSE)</f>
        <v>0</v>
      </c>
      <c r="J57" s="20">
        <f>(LEN(Table_NamedRanges[[#This Row],[Reference Text]])-LEN(SUBSTITUTE(Table_NamedRanges[[#This Row],[Reference Text]],",","")))/LEN(",")</f>
        <v>0</v>
      </c>
      <c r="K57" s="20" t="str">
        <f>IF(Table_NamedRanges[[#This Row],[Starts with '']]=FALSE,"Other",IF(AND(Table_NamedRanges[[#This Row],[Count of Colon ":"]]=0,Table_NamedRanges[[#This Row],[Count of ","]]=0),"Single Cell",IF(Table_NamedRanges[[#This Row],[Count of Colon ":"]]=1,"Single Range", "Multiple (Cell or Range)")))</f>
        <v>Single Cell</v>
      </c>
    </row>
    <row r="58" spans="2:11" x14ac:dyDescent="0.25">
      <c r="B58" s="6" t="s">
        <v>296</v>
      </c>
      <c r="C58" s="8" t="s">
        <v>827</v>
      </c>
      <c r="D58" s="18">
        <f ca="1">IFERROR(INDIRECT(Table_NamedRanges[[#This Row],[Named Range Paste]]),"Undefined/Error")</f>
        <v>43609</v>
      </c>
      <c r="E58" s="18" t="str">
        <f>Table_NamedRanges[[#This Row],[Reference Paste]]</f>
        <v>='Travel Expense Summary'!$C$32</v>
      </c>
      <c r="F58" s="18" t="b">
        <f ca="1">ISERROR(VLOOKUP(Table_NamedRanges[[#This Row],[Named Range Paste]],OFFSET(INDEX(Table_ErrorList[],1,1),0,MATCH(Table_ErrorList[[#Headers],[Attention To Named Range]],Table_ErrorList[#Headers],0)-1,ROWS(Table_ErrorList[]),1),1,FALSE))=FALSE</f>
        <v>1</v>
      </c>
      <c r="G58" s="20" t="b">
        <f>MID(Table_NamedRanges[[#This Row],[Reference Text]],2,1)="'"</f>
        <v>1</v>
      </c>
      <c r="H58" s="20">
        <f>(LEN(Table_NamedRanges[[#This Row],[Reference Text]])-LEN(SUBSTITUTE(Table_NamedRanges[[#This Row],[Reference Text]],":","")))/LEN(":")</f>
        <v>0</v>
      </c>
      <c r="I58" s="20" t="b">
        <f>OR(ISERROR(FIND("[",Table_NamedRanges[[#This Row],[Reference Text]],1))=FALSE,ISERROR(FIND("]",Table_NamedRanges[[#This Row],[Reference Text]],1))=FALSE)</f>
        <v>0</v>
      </c>
      <c r="J58" s="20">
        <f>(LEN(Table_NamedRanges[[#This Row],[Reference Text]])-LEN(SUBSTITUTE(Table_NamedRanges[[#This Row],[Reference Text]],",","")))/LEN(",")</f>
        <v>0</v>
      </c>
      <c r="K58" s="20" t="str">
        <f>IF(Table_NamedRanges[[#This Row],[Starts with '']]=FALSE,"Other",IF(AND(Table_NamedRanges[[#This Row],[Count of Colon ":"]]=0,Table_NamedRanges[[#This Row],[Count of ","]]=0),"Single Cell",IF(Table_NamedRanges[[#This Row],[Count of Colon ":"]]=1,"Single Range", "Multiple (Cell or Range)")))</f>
        <v>Single Cell</v>
      </c>
    </row>
    <row r="59" spans="2:11" x14ac:dyDescent="0.25">
      <c r="B59" s="6" t="s">
        <v>309</v>
      </c>
      <c r="C59" s="8" t="s">
        <v>828</v>
      </c>
      <c r="D59" s="18" t="str">
        <f ca="1">IFERROR(INDIRECT(Table_NamedRanges[[#This Row],[Named Range Paste]]),"Undefined/Error")</f>
        <v>Select</v>
      </c>
      <c r="E59" s="18" t="str">
        <f>Table_NamedRanges[[#This Row],[Reference Paste]]</f>
        <v>='Travel Expense Summary'!$C$35</v>
      </c>
      <c r="F59" s="18" t="b">
        <f ca="1">ISERROR(VLOOKUP(Table_NamedRanges[[#This Row],[Named Range Paste]],OFFSET(INDEX(Table_ErrorList[],1,1),0,MATCH(Table_ErrorList[[#Headers],[Attention To Named Range]],Table_ErrorList[#Headers],0)-1,ROWS(Table_ErrorList[]),1),1,FALSE))=FALSE</f>
        <v>1</v>
      </c>
      <c r="G59" s="20" t="b">
        <f>MID(Table_NamedRanges[[#This Row],[Reference Text]],2,1)="'"</f>
        <v>1</v>
      </c>
      <c r="H59" s="20">
        <f>(LEN(Table_NamedRanges[[#This Row],[Reference Text]])-LEN(SUBSTITUTE(Table_NamedRanges[[#This Row],[Reference Text]],":","")))/LEN(":")</f>
        <v>0</v>
      </c>
      <c r="I59" s="20" t="b">
        <f>OR(ISERROR(FIND("[",Table_NamedRanges[[#This Row],[Reference Text]],1))=FALSE,ISERROR(FIND("]",Table_NamedRanges[[#This Row],[Reference Text]],1))=FALSE)</f>
        <v>0</v>
      </c>
      <c r="J59" s="20">
        <f>(LEN(Table_NamedRanges[[#This Row],[Reference Text]])-LEN(SUBSTITUTE(Table_NamedRanges[[#This Row],[Reference Text]],",","")))/LEN(",")</f>
        <v>0</v>
      </c>
      <c r="K59" s="20" t="str">
        <f>IF(Table_NamedRanges[[#This Row],[Starts with '']]=FALSE,"Other",IF(AND(Table_NamedRanges[[#This Row],[Count of Colon ":"]]=0,Table_NamedRanges[[#This Row],[Count of ","]]=0),"Single Cell",IF(Table_NamedRanges[[#This Row],[Count of Colon ":"]]=1,"Single Range", "Multiple (Cell or Range)")))</f>
        <v>Single Cell</v>
      </c>
    </row>
    <row r="60" spans="2:11" x14ac:dyDescent="0.25">
      <c r="B60" s="6" t="s">
        <v>314</v>
      </c>
      <c r="C60" s="8" t="s">
        <v>829</v>
      </c>
      <c r="D60" s="18">
        <f ca="1">IFERROR(INDIRECT(Table_NamedRanges[[#This Row],[Named Range Paste]]),"Undefined/Error")</f>
        <v>0</v>
      </c>
      <c r="E60" s="18" t="str">
        <f>Table_NamedRanges[[#This Row],[Reference Paste]]</f>
        <v>='Travel Expense Summary'!$C$36</v>
      </c>
      <c r="F60" s="18" t="b">
        <f ca="1">ISERROR(VLOOKUP(Table_NamedRanges[[#This Row],[Named Range Paste]],OFFSET(INDEX(Table_ErrorList[],1,1),0,MATCH(Table_ErrorList[[#Headers],[Attention To Named Range]],Table_ErrorList[#Headers],0)-1,ROWS(Table_ErrorList[]),1),1,FALSE))=FALSE</f>
        <v>1</v>
      </c>
      <c r="G60" s="20" t="b">
        <f>MID(Table_NamedRanges[[#This Row],[Reference Text]],2,1)="'"</f>
        <v>1</v>
      </c>
      <c r="H60" s="20">
        <f>(LEN(Table_NamedRanges[[#This Row],[Reference Text]])-LEN(SUBSTITUTE(Table_NamedRanges[[#This Row],[Reference Text]],":","")))/LEN(":")</f>
        <v>0</v>
      </c>
      <c r="I60" s="20" t="b">
        <f>OR(ISERROR(FIND("[",Table_NamedRanges[[#This Row],[Reference Text]],1))=FALSE,ISERROR(FIND("]",Table_NamedRanges[[#This Row],[Reference Text]],1))=FALSE)</f>
        <v>0</v>
      </c>
      <c r="J60" s="20">
        <f>(LEN(Table_NamedRanges[[#This Row],[Reference Text]])-LEN(SUBSTITUTE(Table_NamedRanges[[#This Row],[Reference Text]],",","")))/LEN(",")</f>
        <v>0</v>
      </c>
      <c r="K60" s="20" t="str">
        <f>IF(Table_NamedRanges[[#This Row],[Starts with '']]=FALSE,"Other",IF(AND(Table_NamedRanges[[#This Row],[Count of Colon ":"]]=0,Table_NamedRanges[[#This Row],[Count of ","]]=0),"Single Cell",IF(Table_NamedRanges[[#This Row],[Count of Colon ":"]]=1,"Single Range", "Multiple (Cell or Range)")))</f>
        <v>Single Cell</v>
      </c>
    </row>
    <row r="61" spans="2:11" x14ac:dyDescent="0.25">
      <c r="B61" s="6" t="s">
        <v>318</v>
      </c>
      <c r="C61" s="8" t="s">
        <v>830</v>
      </c>
      <c r="D61" s="18" t="str">
        <f ca="1">IFERROR(INDIRECT(Table_NamedRanges[[#This Row],[Named Range Paste]]),"Undefined/Error")</f>
        <v>Select</v>
      </c>
      <c r="E61" s="18" t="str">
        <f>Table_NamedRanges[[#This Row],[Reference Paste]]</f>
        <v>='Travel Expense Summary'!$C$37</v>
      </c>
      <c r="F61" s="18" t="b">
        <f ca="1">ISERROR(VLOOKUP(Table_NamedRanges[[#This Row],[Named Range Paste]],OFFSET(INDEX(Table_ErrorList[],1,1),0,MATCH(Table_ErrorList[[#Headers],[Attention To Named Range]],Table_ErrorList[#Headers],0)-1,ROWS(Table_ErrorList[]),1),1,FALSE))=FALSE</f>
        <v>1</v>
      </c>
      <c r="G61" s="20" t="b">
        <f>MID(Table_NamedRanges[[#This Row],[Reference Text]],2,1)="'"</f>
        <v>1</v>
      </c>
      <c r="H61" s="20">
        <f>(LEN(Table_NamedRanges[[#This Row],[Reference Text]])-LEN(SUBSTITUTE(Table_NamedRanges[[#This Row],[Reference Text]],":","")))/LEN(":")</f>
        <v>0</v>
      </c>
      <c r="I61" s="20" t="b">
        <f>OR(ISERROR(FIND("[",Table_NamedRanges[[#This Row],[Reference Text]],1))=FALSE,ISERROR(FIND("]",Table_NamedRanges[[#This Row],[Reference Text]],1))=FALSE)</f>
        <v>0</v>
      </c>
      <c r="J61" s="20">
        <f>(LEN(Table_NamedRanges[[#This Row],[Reference Text]])-LEN(SUBSTITUTE(Table_NamedRanges[[#This Row],[Reference Text]],",","")))/LEN(",")</f>
        <v>0</v>
      </c>
      <c r="K61" s="20" t="str">
        <f>IF(Table_NamedRanges[[#This Row],[Starts with '']]=FALSE,"Other",IF(AND(Table_NamedRanges[[#This Row],[Count of Colon ":"]]=0,Table_NamedRanges[[#This Row],[Count of ","]]=0),"Single Cell",IF(Table_NamedRanges[[#This Row],[Count of Colon ":"]]=1,"Single Range", "Multiple (Cell or Range)")))</f>
        <v>Single Cell</v>
      </c>
    </row>
    <row r="62" spans="2:11" x14ac:dyDescent="0.25">
      <c r="B62" s="6" t="s">
        <v>323</v>
      </c>
      <c r="C62" s="8" t="s">
        <v>831</v>
      </c>
      <c r="D62" s="18" t="str">
        <f ca="1">IFERROR(INDIRECT(Table_NamedRanges[[#This Row],[Named Range Paste]]),"Undefined/Error")</f>
        <v>Select</v>
      </c>
      <c r="E62" s="18" t="str">
        <f>Table_NamedRanges[[#This Row],[Reference Paste]]</f>
        <v>='Travel Expense Summary'!$C$38</v>
      </c>
      <c r="F62" s="18" t="b">
        <f ca="1">ISERROR(VLOOKUP(Table_NamedRanges[[#This Row],[Named Range Paste]],OFFSET(INDEX(Table_ErrorList[],1,1),0,MATCH(Table_ErrorList[[#Headers],[Attention To Named Range]],Table_ErrorList[#Headers],0)-1,ROWS(Table_ErrorList[]),1),1,FALSE))=FALSE</f>
        <v>1</v>
      </c>
      <c r="G62" s="20" t="b">
        <f>MID(Table_NamedRanges[[#This Row],[Reference Text]],2,1)="'"</f>
        <v>1</v>
      </c>
      <c r="H62" s="20">
        <f>(LEN(Table_NamedRanges[[#This Row],[Reference Text]])-LEN(SUBSTITUTE(Table_NamedRanges[[#This Row],[Reference Text]],":","")))/LEN(":")</f>
        <v>0</v>
      </c>
      <c r="I62" s="20" t="b">
        <f>OR(ISERROR(FIND("[",Table_NamedRanges[[#This Row],[Reference Text]],1))=FALSE,ISERROR(FIND("]",Table_NamedRanges[[#This Row],[Reference Text]],1))=FALSE)</f>
        <v>0</v>
      </c>
      <c r="J62" s="20">
        <f>(LEN(Table_NamedRanges[[#This Row],[Reference Text]])-LEN(SUBSTITUTE(Table_NamedRanges[[#This Row],[Reference Text]],",","")))/LEN(",")</f>
        <v>0</v>
      </c>
      <c r="K62" s="20" t="str">
        <f>IF(Table_NamedRanges[[#This Row],[Starts with '']]=FALSE,"Other",IF(AND(Table_NamedRanges[[#This Row],[Count of Colon ":"]]=0,Table_NamedRanges[[#This Row],[Count of ","]]=0),"Single Cell",IF(Table_NamedRanges[[#This Row],[Count of Colon ":"]]=1,"Single Range", "Multiple (Cell or Range)")))</f>
        <v>Single Cell</v>
      </c>
    </row>
    <row r="63" spans="2:11" ht="45" x14ac:dyDescent="0.25">
      <c r="B63" s="6" t="s">
        <v>328</v>
      </c>
      <c r="C63" s="8" t="s">
        <v>832</v>
      </c>
      <c r="D63" s="18" t="str">
        <f ca="1">IFERROR(INDIRECT(Table_NamedRanges[[#This Row],[Named Range Paste]]),"Undefined/Error")</f>
        <v>Completing a University of Toronto RS Clinical Placement</v>
      </c>
      <c r="E63" s="18" t="str">
        <f>Table_NamedRanges[[#This Row],[Reference Paste]]</f>
        <v>='Travel Expense Summary'!$H$13</v>
      </c>
      <c r="F63" s="18" t="b">
        <f ca="1">ISERROR(VLOOKUP(Table_NamedRanges[[#This Row],[Named Range Paste]],OFFSET(INDEX(Table_ErrorList[],1,1),0,MATCH(Table_ErrorList[[#Headers],[Attention To Named Range]],Table_ErrorList[#Headers],0)-1,ROWS(Table_ErrorList[]),1),1,FALSE))=FALSE</f>
        <v>1</v>
      </c>
      <c r="G63" s="20" t="b">
        <f>MID(Table_NamedRanges[[#This Row],[Reference Text]],2,1)="'"</f>
        <v>1</v>
      </c>
      <c r="H63" s="20">
        <f>(LEN(Table_NamedRanges[[#This Row],[Reference Text]])-LEN(SUBSTITUTE(Table_NamedRanges[[#This Row],[Reference Text]],":","")))/LEN(":")</f>
        <v>0</v>
      </c>
      <c r="I63" s="20" t="b">
        <f>OR(ISERROR(FIND("[",Table_NamedRanges[[#This Row],[Reference Text]],1))=FALSE,ISERROR(FIND("]",Table_NamedRanges[[#This Row],[Reference Text]],1))=FALSE)</f>
        <v>0</v>
      </c>
      <c r="J63" s="20">
        <f>(LEN(Table_NamedRanges[[#This Row],[Reference Text]])-LEN(SUBSTITUTE(Table_NamedRanges[[#This Row],[Reference Text]],",","")))/LEN(",")</f>
        <v>0</v>
      </c>
      <c r="K63" s="20" t="str">
        <f>IF(Table_NamedRanges[[#This Row],[Starts with '']]=FALSE,"Other",IF(AND(Table_NamedRanges[[#This Row],[Count of Colon ":"]]=0,Table_NamedRanges[[#This Row],[Count of ","]]=0),"Single Cell",IF(Table_NamedRanges[[#This Row],[Count of Colon ":"]]=1,"Single Range", "Multiple (Cell or Range)")))</f>
        <v>Single Cell</v>
      </c>
    </row>
    <row r="64" spans="2:11" ht="45" x14ac:dyDescent="0.25">
      <c r="B64" s="6" t="s">
        <v>833</v>
      </c>
      <c r="C64" s="8" t="s">
        <v>834</v>
      </c>
      <c r="D64" s="18" t="str">
        <f ca="1">IFERROR(INDIRECT(Table_NamedRanges[[#This Row],[Named Range Paste]]),"Undefined/Error")</f>
        <v>Stopped in Sault Ste Marie overnight as travel exceeded 800 km one way</v>
      </c>
      <c r="E64" s="18" t="str">
        <f>Table_NamedRanges[[#This Row],[Reference Paste]]</f>
        <v>='Travel Expense Summary'!$H$16</v>
      </c>
      <c r="F64" s="18" t="b">
        <f ca="1">ISERROR(VLOOKUP(Table_NamedRanges[[#This Row],[Named Range Paste]],OFFSET(INDEX(Table_ErrorList[],1,1),0,MATCH(Table_ErrorList[[#Headers],[Attention To Named Range]],Table_ErrorList[#Headers],0)-1,ROWS(Table_ErrorList[]),1),1,FALSE))=FALSE</f>
        <v>0</v>
      </c>
      <c r="G64" s="20" t="b">
        <f>MID(Table_NamedRanges[[#This Row],[Reference Text]],2,1)="'"</f>
        <v>1</v>
      </c>
      <c r="H64" s="20">
        <f>(LEN(Table_NamedRanges[[#This Row],[Reference Text]])-LEN(SUBSTITUTE(Table_NamedRanges[[#This Row],[Reference Text]],":","")))/LEN(":")</f>
        <v>0</v>
      </c>
      <c r="I64" s="20" t="b">
        <f>OR(ISERROR(FIND("[",Table_NamedRanges[[#This Row],[Reference Text]],1))=FALSE,ISERROR(FIND("]",Table_NamedRanges[[#This Row],[Reference Text]],1))=FALSE)</f>
        <v>0</v>
      </c>
      <c r="J64" s="20">
        <f>(LEN(Table_NamedRanges[[#This Row],[Reference Text]])-LEN(SUBSTITUTE(Table_NamedRanges[[#This Row],[Reference Text]],",","")))/LEN(",")</f>
        <v>0</v>
      </c>
      <c r="K64" s="20" t="str">
        <f>IF(Table_NamedRanges[[#This Row],[Starts with '']]=FALSE,"Other",IF(AND(Table_NamedRanges[[#This Row],[Count of Colon ":"]]=0,Table_NamedRanges[[#This Row],[Count of ","]]=0),"Single Cell",IF(Table_NamedRanges[[#This Row],[Count of Colon ":"]]=1,"Single Range", "Multiple (Cell or Range)")))</f>
        <v>Single Cell</v>
      </c>
    </row>
    <row r="65" spans="2:11" x14ac:dyDescent="0.25">
      <c r="B65" s="6" t="s">
        <v>333</v>
      </c>
      <c r="C65" s="8" t="s">
        <v>835</v>
      </c>
      <c r="D65" s="18">
        <f ca="1">IFERROR(INDIRECT(Table_NamedRanges[[#This Row],[Named Range Paste]]),"Undefined/Error")</f>
        <v>0</v>
      </c>
      <c r="E65" s="18" t="str">
        <f>Table_NamedRanges[[#This Row],[Reference Paste]]</f>
        <v>='Travel Expense Summary'!$J$21</v>
      </c>
      <c r="F65" s="18" t="b">
        <f ca="1">ISERROR(VLOOKUP(Table_NamedRanges[[#This Row],[Named Range Paste]],OFFSET(INDEX(Table_ErrorList[],1,1),0,MATCH(Table_ErrorList[[#Headers],[Attention To Named Range]],Table_ErrorList[#Headers],0)-1,ROWS(Table_ErrorList[]),1),1,FALSE))=FALSE</f>
        <v>1</v>
      </c>
      <c r="G65" s="20" t="b">
        <f>MID(Table_NamedRanges[[#This Row],[Reference Text]],2,1)="'"</f>
        <v>1</v>
      </c>
      <c r="H65" s="20">
        <f>(LEN(Table_NamedRanges[[#This Row],[Reference Text]])-LEN(SUBSTITUTE(Table_NamedRanges[[#This Row],[Reference Text]],":","")))/LEN(":")</f>
        <v>0</v>
      </c>
      <c r="I65" s="20" t="b">
        <f>OR(ISERROR(FIND("[",Table_NamedRanges[[#This Row],[Reference Text]],1))=FALSE,ISERROR(FIND("]",Table_NamedRanges[[#This Row],[Reference Text]],1))=FALSE)</f>
        <v>0</v>
      </c>
      <c r="J65" s="20">
        <f>(LEN(Table_NamedRanges[[#This Row],[Reference Text]])-LEN(SUBSTITUTE(Table_NamedRanges[[#This Row],[Reference Text]],",","")))/LEN(",")</f>
        <v>0</v>
      </c>
      <c r="K65" s="20" t="str">
        <f>IF(Table_NamedRanges[[#This Row],[Starts with '']]=FALSE,"Other",IF(AND(Table_NamedRanges[[#This Row],[Count of Colon ":"]]=0,Table_NamedRanges[[#This Row],[Count of ","]]=0),"Single Cell",IF(Table_NamedRanges[[#This Row],[Count of Colon ":"]]=1,"Single Range", "Multiple (Cell or Range)")))</f>
        <v>Single Cell</v>
      </c>
    </row>
    <row r="66" spans="2:11" x14ac:dyDescent="0.25">
      <c r="B66" s="6" t="s">
        <v>337</v>
      </c>
      <c r="C66" s="8" t="s">
        <v>836</v>
      </c>
      <c r="D66" s="18">
        <f ca="1">IFERROR(INDIRECT(Table_NamedRanges[[#This Row],[Named Range Paste]]),"Undefined/Error")</f>
        <v>0</v>
      </c>
      <c r="E66" s="18" t="str">
        <f>Table_NamedRanges[[#This Row],[Reference Paste]]</f>
        <v>='Travel Expense Summary'!$J$22</v>
      </c>
      <c r="F66" s="18" t="b">
        <f ca="1">ISERROR(VLOOKUP(Table_NamedRanges[[#This Row],[Named Range Paste]],OFFSET(INDEX(Table_ErrorList[],1,1),0,MATCH(Table_ErrorList[[#Headers],[Attention To Named Range]],Table_ErrorList[#Headers],0)-1,ROWS(Table_ErrorList[]),1),1,FALSE))=FALSE</f>
        <v>1</v>
      </c>
      <c r="G66" s="20" t="b">
        <f>MID(Table_NamedRanges[[#This Row],[Reference Text]],2,1)="'"</f>
        <v>1</v>
      </c>
      <c r="H66" s="20">
        <f>(LEN(Table_NamedRanges[[#This Row],[Reference Text]])-LEN(SUBSTITUTE(Table_NamedRanges[[#This Row],[Reference Text]],":","")))/LEN(":")</f>
        <v>0</v>
      </c>
      <c r="I66" s="20" t="b">
        <f>OR(ISERROR(FIND("[",Table_NamedRanges[[#This Row],[Reference Text]],1))=FALSE,ISERROR(FIND("]",Table_NamedRanges[[#This Row],[Reference Text]],1))=FALSE)</f>
        <v>0</v>
      </c>
      <c r="J66" s="20">
        <f>(LEN(Table_NamedRanges[[#This Row],[Reference Text]])-LEN(SUBSTITUTE(Table_NamedRanges[[#This Row],[Reference Text]],",","")))/LEN(",")</f>
        <v>0</v>
      </c>
      <c r="K66" s="20" t="str">
        <f>IF(Table_NamedRanges[[#This Row],[Starts with '']]=FALSE,"Other",IF(AND(Table_NamedRanges[[#This Row],[Count of Colon ":"]]=0,Table_NamedRanges[[#This Row],[Count of ","]]=0),"Single Cell",IF(Table_NamedRanges[[#This Row],[Count of Colon ":"]]=1,"Single Range", "Multiple (Cell or Range)")))</f>
        <v>Single Cell</v>
      </c>
    </row>
    <row r="67" spans="2:11" x14ac:dyDescent="0.25">
      <c r="B67" s="6" t="s">
        <v>340</v>
      </c>
      <c r="C67" s="8" t="s">
        <v>837</v>
      </c>
      <c r="D67" s="18">
        <f ca="1">IFERROR(INDIRECT(Table_NamedRanges[[#This Row],[Named Range Paste]]),"Undefined/Error")</f>
        <v>0</v>
      </c>
      <c r="E67" s="18" t="str">
        <f>Table_NamedRanges[[#This Row],[Reference Paste]]</f>
        <v>='Travel Expense Summary'!$J$23</v>
      </c>
      <c r="F67" s="18" t="b">
        <f ca="1">ISERROR(VLOOKUP(Table_NamedRanges[[#This Row],[Named Range Paste]],OFFSET(INDEX(Table_ErrorList[],1,1),0,MATCH(Table_ErrorList[[#Headers],[Attention To Named Range]],Table_ErrorList[#Headers],0)-1,ROWS(Table_ErrorList[]),1),1,FALSE))=FALSE</f>
        <v>1</v>
      </c>
      <c r="G67" s="20" t="b">
        <f>MID(Table_NamedRanges[[#This Row],[Reference Text]],2,1)="'"</f>
        <v>1</v>
      </c>
      <c r="H67" s="20">
        <f>(LEN(Table_NamedRanges[[#This Row],[Reference Text]])-LEN(SUBSTITUTE(Table_NamedRanges[[#This Row],[Reference Text]],":","")))/LEN(":")</f>
        <v>0</v>
      </c>
      <c r="I67" s="20" t="b">
        <f>OR(ISERROR(FIND("[",Table_NamedRanges[[#This Row],[Reference Text]],1))=FALSE,ISERROR(FIND("]",Table_NamedRanges[[#This Row],[Reference Text]],1))=FALSE)</f>
        <v>0</v>
      </c>
      <c r="J67" s="20">
        <f>(LEN(Table_NamedRanges[[#This Row],[Reference Text]])-LEN(SUBSTITUTE(Table_NamedRanges[[#This Row],[Reference Text]],",","")))/LEN(",")</f>
        <v>0</v>
      </c>
      <c r="K67" s="20" t="str">
        <f>IF(Table_NamedRanges[[#This Row],[Starts with '']]=FALSE,"Other",IF(AND(Table_NamedRanges[[#This Row],[Count of Colon ":"]]=0,Table_NamedRanges[[#This Row],[Count of ","]]=0),"Single Cell",IF(Table_NamedRanges[[#This Row],[Count of Colon ":"]]=1,"Single Range", "Multiple (Cell or Range)")))</f>
        <v>Single Cell</v>
      </c>
    </row>
    <row r="68" spans="2:11" x14ac:dyDescent="0.25">
      <c r="B68" s="6" t="s">
        <v>693</v>
      </c>
      <c r="C68" s="8" t="s">
        <v>838</v>
      </c>
      <c r="D68" s="18">
        <f ca="1">IFERROR(INDIRECT(Table_NamedRanges[[#This Row],[Named Range Paste]]),"Undefined/Error")</f>
        <v>0</v>
      </c>
      <c r="E68" s="18" t="str">
        <f>Table_NamedRanges[[#This Row],[Reference Paste]]</f>
        <v>='Travel Expense Summary'!$F$42</v>
      </c>
      <c r="F68" s="18" t="b">
        <f ca="1">ISERROR(VLOOKUP(Table_NamedRanges[[#This Row],[Named Range Paste]],OFFSET(INDEX(Table_ErrorList[],1,1),0,MATCH(Table_ErrorList[[#Headers],[Attention To Named Range]],Table_ErrorList[#Headers],0)-1,ROWS(Table_ErrorList[]),1),1,FALSE))=FALSE</f>
        <v>1</v>
      </c>
      <c r="G68" s="20" t="b">
        <f>MID(Table_NamedRanges[[#This Row],[Reference Text]],2,1)="'"</f>
        <v>1</v>
      </c>
      <c r="H68" s="20">
        <f>(LEN(Table_NamedRanges[[#This Row],[Reference Text]])-LEN(SUBSTITUTE(Table_NamedRanges[[#This Row],[Reference Text]],":","")))/LEN(":")</f>
        <v>0</v>
      </c>
      <c r="I68" s="20" t="b">
        <f>OR(ISERROR(FIND("[",Table_NamedRanges[[#This Row],[Reference Text]],1))=FALSE,ISERROR(FIND("]",Table_NamedRanges[[#This Row],[Reference Text]],1))=FALSE)</f>
        <v>0</v>
      </c>
      <c r="J68" s="20">
        <f>(LEN(Table_NamedRanges[[#This Row],[Reference Text]])-LEN(SUBSTITUTE(Table_NamedRanges[[#This Row],[Reference Text]],",","")))/LEN(",")</f>
        <v>0</v>
      </c>
      <c r="K68" s="20" t="str">
        <f>IF(Table_NamedRanges[[#This Row],[Starts with '']]=FALSE,"Other",IF(AND(Table_NamedRanges[[#This Row],[Count of Colon ":"]]=0,Table_NamedRanges[[#This Row],[Count of ","]]=0),"Single Cell",IF(Table_NamedRanges[[#This Row],[Count of Colon ":"]]=1,"Single Range", "Multiple (Cell or Range)")))</f>
        <v>Single Cell</v>
      </c>
    </row>
    <row r="69" spans="2:11" x14ac:dyDescent="0.25">
      <c r="B69" s="6" t="s">
        <v>700</v>
      </c>
      <c r="C69" s="8" t="s">
        <v>839</v>
      </c>
      <c r="D69" s="18">
        <f ca="1">IFERROR(INDIRECT(Table_NamedRanges[[#This Row],[Named Range Paste]]),"Undefined/Error")</f>
        <v>0</v>
      </c>
      <c r="E69" s="18" t="str">
        <f>Table_NamedRanges[[#This Row],[Reference Paste]]</f>
        <v>='Travel Expense Summary'!$C$43</v>
      </c>
      <c r="F69" s="18" t="b">
        <f ca="1">ISERROR(VLOOKUP(Table_NamedRanges[[#This Row],[Named Range Paste]],OFFSET(INDEX(Table_ErrorList[],1,1),0,MATCH(Table_ErrorList[[#Headers],[Attention To Named Range]],Table_ErrorList[#Headers],0)-1,ROWS(Table_ErrorList[]),1),1,FALSE))=FALSE</f>
        <v>1</v>
      </c>
      <c r="G69" s="20" t="b">
        <f>MID(Table_NamedRanges[[#This Row],[Reference Text]],2,1)="'"</f>
        <v>1</v>
      </c>
      <c r="H69" s="20">
        <f>(LEN(Table_NamedRanges[[#This Row],[Reference Text]])-LEN(SUBSTITUTE(Table_NamedRanges[[#This Row],[Reference Text]],":","")))/LEN(":")</f>
        <v>0</v>
      </c>
      <c r="I69" s="20" t="b">
        <f>OR(ISERROR(FIND("[",Table_NamedRanges[[#This Row],[Reference Text]],1))=FALSE,ISERROR(FIND("]",Table_NamedRanges[[#This Row],[Reference Text]],1))=FALSE)</f>
        <v>0</v>
      </c>
      <c r="J69" s="20">
        <f>(LEN(Table_NamedRanges[[#This Row],[Reference Text]])-LEN(SUBSTITUTE(Table_NamedRanges[[#This Row],[Reference Text]],",","")))/LEN(",")</f>
        <v>0</v>
      </c>
      <c r="K69" s="20" t="str">
        <f>IF(Table_NamedRanges[[#This Row],[Starts with '']]=FALSE,"Other",IF(AND(Table_NamedRanges[[#This Row],[Count of Colon ":"]]=0,Table_NamedRanges[[#This Row],[Count of ","]]=0),"Single Cell",IF(Table_NamedRanges[[#This Row],[Count of Colon ":"]]=1,"Single Range", "Multiple (Cell or Range)")))</f>
        <v>Single Cell</v>
      </c>
    </row>
    <row r="70" spans="2:11" ht="105" x14ac:dyDescent="0.25">
      <c r="B70" s="6" t="s">
        <v>840</v>
      </c>
      <c r="C70" s="8" t="s">
        <v>841</v>
      </c>
      <c r="D70" s="18" t="str">
        <f ca="1">IFERROR(INDIRECT(Table_NamedRanges[[#This Row],[Named Range Paste]]),"Undefined/Error")</f>
        <v>Undefined/Error</v>
      </c>
      <c r="E70" s="18" t="str">
        <f>Table_NamedRanges[[#This Row],[Reference Paste]]</f>
        <v>='Travel Expense Summary'!$C$1:$AA$4,'Travel Expense Summary'!$D$8,'Travel Expense Summary'!$B$11,'Travel Expense Summary'!$H$11,'Travel Expense Summary'!$O$11,'Travel Expense Summary'!$V$13:$Y$22,'Travel Expense Summary'!$B$19 'Travel Expense Summary'!</v>
      </c>
      <c r="F70" s="18" t="b">
        <f ca="1">ISERROR(VLOOKUP(Table_NamedRanges[[#This Row],[Named Range Paste]],OFFSET(INDEX(Table_ErrorList[],1,1),0,MATCH(Table_ErrorList[[#Headers],[Attention To Named Range]],Table_ErrorList[#Headers],0)-1,ROWS(Table_ErrorList[]),1),1,FALSE))=FALSE</f>
        <v>0</v>
      </c>
      <c r="G70" s="20" t="b">
        <f>MID(Table_NamedRanges[[#This Row],[Reference Text]],2,1)="'"</f>
        <v>1</v>
      </c>
      <c r="H70" s="20">
        <f>(LEN(Table_NamedRanges[[#This Row],[Reference Text]])-LEN(SUBSTITUTE(Table_NamedRanges[[#This Row],[Reference Text]],":","")))/LEN(":")</f>
        <v>2</v>
      </c>
      <c r="I70" s="20" t="b">
        <f>OR(ISERROR(FIND("[",Table_NamedRanges[[#This Row],[Reference Text]],1))=FALSE,ISERROR(FIND("]",Table_NamedRanges[[#This Row],[Reference Text]],1))=FALSE)</f>
        <v>0</v>
      </c>
      <c r="J70" s="20">
        <f>(LEN(Table_NamedRanges[[#This Row],[Reference Text]])-LEN(SUBSTITUTE(Table_NamedRanges[[#This Row],[Reference Text]],",","")))/LEN(",")</f>
        <v>6</v>
      </c>
      <c r="K70" s="20" t="str">
        <f>IF(Table_NamedRanges[[#This Row],[Starts with '']]=FALSE,"Other",IF(AND(Table_NamedRanges[[#This Row],[Count of Colon ":"]]=0,Table_NamedRanges[[#This Row],[Count of ","]]=0),"Single Cell",IF(Table_NamedRanges[[#This Row],[Count of Colon ":"]]=1,"Single Range", "Multiple (Cell or Range)")))</f>
        <v>Multiple (Cell or Range)</v>
      </c>
    </row>
    <row r="71" spans="2:11" ht="135" x14ac:dyDescent="0.25">
      <c r="B71" s="6" t="s">
        <v>842</v>
      </c>
      <c r="C71" s="8" t="s">
        <v>843</v>
      </c>
      <c r="D71" s="18" t="str">
        <f ca="1">IFERROR(INDIRECT(Table_NamedRanges[[#This Row],[Named Range Paste]]),"Undefined/Error")</f>
        <v>If this is all your claim items, forward your claim to the appropriate individual for review and approval.
If this is not all your items, continue completing '6.0 Meals' and '7.0 Other Expenses'.</v>
      </c>
      <c r="E71" s="18" t="str">
        <f>Table_NamedRanges[[#This Row],[Reference Paste]]</f>
        <v>='Travel Expense Summary'!$C$3</v>
      </c>
      <c r="F71" s="18" t="b">
        <f ca="1">ISERROR(VLOOKUP(Table_NamedRanges[[#This Row],[Named Range Paste]],OFFSET(INDEX(Table_ErrorList[],1,1),0,MATCH(Table_ErrorList[[#Headers],[Attention To Named Range]],Table_ErrorList[#Headers],0)-1,ROWS(Table_ErrorList[]),1),1,FALSE))=FALSE</f>
        <v>0</v>
      </c>
      <c r="G71" s="20" t="b">
        <f>MID(Table_NamedRanges[[#This Row],[Reference Text]],2,1)="'"</f>
        <v>1</v>
      </c>
      <c r="H71" s="20">
        <f>(LEN(Table_NamedRanges[[#This Row],[Reference Text]])-LEN(SUBSTITUTE(Table_NamedRanges[[#This Row],[Reference Text]],":","")))/LEN(":")</f>
        <v>0</v>
      </c>
      <c r="I71" s="20" t="b">
        <f>OR(ISERROR(FIND("[",Table_NamedRanges[[#This Row],[Reference Text]],1))=FALSE,ISERROR(FIND("]",Table_NamedRanges[[#This Row],[Reference Text]],1))=FALSE)</f>
        <v>0</v>
      </c>
      <c r="J71" s="20">
        <f>(LEN(Table_NamedRanges[[#This Row],[Reference Text]])-LEN(SUBSTITUTE(Table_NamedRanges[[#This Row],[Reference Text]],",","")))/LEN(",")</f>
        <v>0</v>
      </c>
      <c r="K71" s="20" t="str">
        <f>IF(Table_NamedRanges[[#This Row],[Starts with '']]=FALSE,"Other",IF(AND(Table_NamedRanges[[#This Row],[Count of Colon ":"]]=0,Table_NamedRanges[[#This Row],[Count of ","]]=0),"Single Cell",IF(Table_NamedRanges[[#This Row],[Count of Colon ":"]]=1,"Single Range", "Multiple (Cell or Range)")))</f>
        <v>Single Cell</v>
      </c>
    </row>
    <row r="72" spans="2:11" ht="45" x14ac:dyDescent="0.25">
      <c r="B72" s="6" t="s">
        <v>844</v>
      </c>
      <c r="C72" s="8" t="s">
        <v>845</v>
      </c>
      <c r="D72" s="18" t="str">
        <f ca="1">IFERROR(INDIRECT(Table_NamedRanges[[#This Row],[Named Range Paste]]),"Undefined/Error")</f>
        <v>You have successfully included 4 items totalling $680.18.</v>
      </c>
      <c r="E72" s="18" t="str">
        <f>Table_NamedRanges[[#This Row],[Reference Paste]]</f>
        <v>='Travel Expense Summary'!$C$1</v>
      </c>
      <c r="F72" s="18" t="b">
        <f ca="1">ISERROR(VLOOKUP(Table_NamedRanges[[#This Row],[Named Range Paste]],OFFSET(INDEX(Table_ErrorList[],1,1),0,MATCH(Table_ErrorList[[#Headers],[Attention To Named Range]],Table_ErrorList[#Headers],0)-1,ROWS(Table_ErrorList[]),1),1,FALSE))=FALSE</f>
        <v>0</v>
      </c>
      <c r="G72" s="20" t="b">
        <f>MID(Table_NamedRanges[[#This Row],[Reference Text]],2,1)="'"</f>
        <v>1</v>
      </c>
      <c r="H72" s="20">
        <f>(LEN(Table_NamedRanges[[#This Row],[Reference Text]])-LEN(SUBSTITUTE(Table_NamedRanges[[#This Row],[Reference Text]],":","")))/LEN(":")</f>
        <v>0</v>
      </c>
      <c r="I72" s="20" t="b">
        <f>OR(ISERROR(FIND("[",Table_NamedRanges[[#This Row],[Reference Text]],1))=FALSE,ISERROR(FIND("]",Table_NamedRanges[[#This Row],[Reference Text]],1))=FALSE)</f>
        <v>0</v>
      </c>
      <c r="J72" s="20">
        <f>(LEN(Table_NamedRanges[[#This Row],[Reference Text]])-LEN(SUBSTITUTE(Table_NamedRanges[[#This Row],[Reference Text]],",","")))/LEN(",")</f>
        <v>0</v>
      </c>
      <c r="K72" s="20" t="str">
        <f>IF(Table_NamedRanges[[#This Row],[Starts with '']]=FALSE,"Other",IF(AND(Table_NamedRanges[[#This Row],[Count of Colon ":"]]=0,Table_NamedRanges[[#This Row],[Count of ","]]=0),"Single Cell",IF(Table_NamedRanges[[#This Row],[Count of Colon ":"]]=1,"Single Range", "Multiple (Cell or Range)")))</f>
        <v>Single Cell</v>
      </c>
    </row>
    <row r="73" spans="2:11" x14ac:dyDescent="0.25">
      <c r="B73" s="6" t="s">
        <v>846</v>
      </c>
      <c r="C73" s="8" t="s">
        <v>847</v>
      </c>
      <c r="D73" s="18" t="str">
        <f ca="1">IFERROR(INDIRECT(Table_NamedRanges[[#This Row],[Named Range Paste]]),"Undefined/Error")</f>
        <v>$Y$27,$Y$28,$Y$30,</v>
      </c>
      <c r="E73" s="18" t="str">
        <f>Table_NamedRanges[[#This Row],[Reference Paste]]</f>
        <v>='Expense Type Validation'!$F$52</v>
      </c>
      <c r="F73" s="18" t="b">
        <f ca="1">ISERROR(VLOOKUP(Table_NamedRanges[[#This Row],[Named Range Paste]],OFFSET(INDEX(Table_ErrorList[],1,1),0,MATCH(Table_ErrorList[[#Headers],[Attention To Named Range]],Table_ErrorList[#Headers],0)-1,ROWS(Table_ErrorList[]),1),1,FALSE))=FALSE</f>
        <v>0</v>
      </c>
      <c r="G73" s="20" t="b">
        <f>MID(Table_NamedRanges[[#This Row],[Reference Text]],2,1)="'"</f>
        <v>1</v>
      </c>
      <c r="H73" s="20">
        <f>(LEN(Table_NamedRanges[[#This Row],[Reference Text]])-LEN(SUBSTITUTE(Table_NamedRanges[[#This Row],[Reference Text]],":","")))/LEN(":")</f>
        <v>0</v>
      </c>
      <c r="I73" s="20" t="b">
        <f>OR(ISERROR(FIND("[",Table_NamedRanges[[#This Row],[Reference Text]],1))=FALSE,ISERROR(FIND("]",Table_NamedRanges[[#This Row],[Reference Text]],1))=FALSE)</f>
        <v>0</v>
      </c>
      <c r="J73" s="20">
        <f>(LEN(Table_NamedRanges[[#This Row],[Reference Text]])-LEN(SUBSTITUTE(Table_NamedRanges[[#This Row],[Reference Text]],",","")))/LEN(",")</f>
        <v>0</v>
      </c>
      <c r="K73" s="20" t="str">
        <f>IF(Table_NamedRanges[[#This Row],[Starts with '']]=FALSE,"Other",IF(AND(Table_NamedRanges[[#This Row],[Count of Colon ":"]]=0,Table_NamedRanges[[#This Row],[Count of ","]]=0),"Single Cell",IF(Table_NamedRanges[[#This Row],[Count of Colon ":"]]=1,"Single Range", "Multiple (Cell or Range)")))</f>
        <v>Single Cell</v>
      </c>
    </row>
    <row r="74" spans="2:11" ht="75" x14ac:dyDescent="0.25">
      <c r="B74" s="6" t="s">
        <v>848</v>
      </c>
      <c r="C74" s="8" t="s">
        <v>849</v>
      </c>
      <c r="D74" s="18" t="str">
        <f ca="1">IFERROR(INDIRECT(Table_NamedRanges[[#This Row],[Named Range Paste]]),"Undefined/Error")</f>
        <v>Undefined/Error</v>
      </c>
      <c r="E74" s="18" t="str">
        <f>Table_NamedRanges[[#This Row],[Reference Paste]]</f>
        <v>=IFERROR(NOT(VLOOKUP(Field17_ClaimType,Table_ClaimType,MATCH(Table_ClaimType[[#Headers],[Advance Amount Available]],Table_ClaimType[#Headers],0),FALSE)),FALSE)</v>
      </c>
      <c r="F74" s="18" t="b">
        <f ca="1">ISERROR(VLOOKUP(Table_NamedRanges[[#This Row],[Named Range Paste]],OFFSET(INDEX(Table_ErrorList[],1,1),0,MATCH(Table_ErrorList[[#Headers],[Attention To Named Range]],Table_ErrorList[#Headers],0)-1,ROWS(Table_ErrorList[]),1),1,FALSE))=FALSE</f>
        <v>0</v>
      </c>
      <c r="G74" s="20" t="b">
        <f>MID(Table_NamedRanges[[#This Row],[Reference Text]],2,1)="'"</f>
        <v>0</v>
      </c>
      <c r="H74" s="20">
        <f>(LEN(Table_NamedRanges[[#This Row],[Reference Text]])-LEN(SUBSTITUTE(Table_NamedRanges[[#This Row],[Reference Text]],":","")))/LEN(":")</f>
        <v>0</v>
      </c>
      <c r="I74" s="20" t="b">
        <f>OR(ISERROR(FIND("[",Table_NamedRanges[[#This Row],[Reference Text]],1))=FALSE,ISERROR(FIND("]",Table_NamedRanges[[#This Row],[Reference Text]],1))=FALSE)</f>
        <v>1</v>
      </c>
      <c r="J74" s="20">
        <f>(LEN(Table_NamedRanges[[#This Row],[Reference Text]])-LEN(SUBSTITUTE(Table_NamedRanges[[#This Row],[Reference Text]],",","")))/LEN(",")</f>
        <v>7</v>
      </c>
      <c r="K74" s="20" t="str">
        <f>IF(Table_NamedRanges[[#This Row],[Starts with '']]=FALSE,"Other",IF(AND(Table_NamedRanges[[#This Row],[Count of Colon ":"]]=0,Table_NamedRanges[[#This Row],[Count of ","]]=0),"Single Cell",IF(Table_NamedRanges[[#This Row],[Count of Colon ":"]]=1,"Single Range", "Multiple (Cell or Range)")))</f>
        <v>Other</v>
      </c>
    </row>
    <row r="75" spans="2:11" ht="75" x14ac:dyDescent="0.25">
      <c r="B75" s="6" t="s">
        <v>850</v>
      </c>
      <c r="C75" s="8" t="s">
        <v>851</v>
      </c>
      <c r="D75" s="18" t="str">
        <f ca="1">IFERROR(INDIRECT(Table_NamedRanges[[#This Row],[Named Range Paste]]),"Undefined/Error")</f>
        <v>Undefined/Error</v>
      </c>
      <c r="E75" s="18" t="str">
        <f>Table_NamedRanges[[#This Row],[Reference Paste]]</f>
        <v>=VLOOKUP(Field09_PayeeType,Table_PayeeType,MATCH(Table_PayeeType[[#Headers],[ClaimDetails Available]],Table_PayeeType[#Headers],0),FALSE)=FALSE</v>
      </c>
      <c r="F75" s="18" t="b">
        <f ca="1">ISERROR(VLOOKUP(Table_NamedRanges[[#This Row],[Named Range Paste]],OFFSET(INDEX(Table_ErrorList[],1,1),0,MATCH(Table_ErrorList[[#Headers],[Attention To Named Range]],Table_ErrorList[#Headers],0)-1,ROWS(Table_ErrorList[]),1),1,FALSE))=FALSE</f>
        <v>0</v>
      </c>
      <c r="G75" s="20" t="b">
        <f>MID(Table_NamedRanges[[#This Row],[Reference Text]],2,1)="'"</f>
        <v>0</v>
      </c>
      <c r="H75" s="20">
        <f>(LEN(Table_NamedRanges[[#This Row],[Reference Text]])-LEN(SUBSTITUTE(Table_NamedRanges[[#This Row],[Reference Text]],":","")))/LEN(":")</f>
        <v>0</v>
      </c>
      <c r="I75" s="20" t="b">
        <f>OR(ISERROR(FIND("[",Table_NamedRanges[[#This Row],[Reference Text]],1))=FALSE,ISERROR(FIND("]",Table_NamedRanges[[#This Row],[Reference Text]],1))=FALSE)</f>
        <v>1</v>
      </c>
      <c r="J75" s="20">
        <f>(LEN(Table_NamedRanges[[#This Row],[Reference Text]])-LEN(SUBSTITUTE(Table_NamedRanges[[#This Row],[Reference Text]],",","")))/LEN(",")</f>
        <v>6</v>
      </c>
      <c r="K75" s="20" t="str">
        <f>IF(Table_NamedRanges[[#This Row],[Starts with '']]=FALSE,"Other",IF(AND(Table_NamedRanges[[#This Row],[Count of Colon ":"]]=0,Table_NamedRanges[[#This Row],[Count of ","]]=0),"Single Cell",IF(Table_NamedRanges[[#This Row],[Count of Colon ":"]]=1,"Single Range", "Multiple (Cell or Range)")))</f>
        <v>Other</v>
      </c>
    </row>
    <row r="76" spans="2:11" x14ac:dyDescent="0.25">
      <c r="B76" s="6" t="s">
        <v>852</v>
      </c>
      <c r="C76" s="8" t="s">
        <v>853</v>
      </c>
      <c r="D76" s="18" t="str">
        <f ca="1">IFERROR(INDIRECT(Table_NamedRanges[[#This Row],[Named Range Paste]]),"Undefined/Error")</f>
        <v>$X$29,</v>
      </c>
      <c r="E76" s="18" t="str">
        <f>Table_NamedRanges[[#This Row],[Reference Paste]]</f>
        <v>='Expense Type Validation'!$E$52</v>
      </c>
      <c r="F76" s="18" t="b">
        <f ca="1">ISERROR(VLOOKUP(Table_NamedRanges[[#This Row],[Named Range Paste]],OFFSET(INDEX(Table_ErrorList[],1,1),0,MATCH(Table_ErrorList[[#Headers],[Attention To Named Range]],Table_ErrorList[#Headers],0)-1,ROWS(Table_ErrorList[]),1),1,FALSE))=FALSE</f>
        <v>0</v>
      </c>
      <c r="G76" s="20" t="b">
        <f>MID(Table_NamedRanges[[#This Row],[Reference Text]],2,1)="'"</f>
        <v>1</v>
      </c>
      <c r="H76" s="20">
        <f>(LEN(Table_NamedRanges[[#This Row],[Reference Text]])-LEN(SUBSTITUTE(Table_NamedRanges[[#This Row],[Reference Text]],":","")))/LEN(":")</f>
        <v>0</v>
      </c>
      <c r="I76" s="20" t="b">
        <f>OR(ISERROR(FIND("[",Table_NamedRanges[[#This Row],[Reference Text]],1))=FALSE,ISERROR(FIND("]",Table_NamedRanges[[#This Row],[Reference Text]],1))=FALSE)</f>
        <v>0</v>
      </c>
      <c r="J76" s="20">
        <f>(LEN(Table_NamedRanges[[#This Row],[Reference Text]])-LEN(SUBSTITUTE(Table_NamedRanges[[#This Row],[Reference Text]],",","")))/LEN(",")</f>
        <v>0</v>
      </c>
      <c r="K76" s="20" t="str">
        <f>IF(Table_NamedRanges[[#This Row],[Starts with '']]=FALSE,"Other",IF(AND(Table_NamedRanges[[#This Row],[Count of Colon ":"]]=0,Table_NamedRanges[[#This Row],[Count of ","]]=0),"Single Cell",IF(Table_NamedRanges[[#This Row],[Count of Colon ":"]]=1,"Single Range", "Multiple (Cell or Range)")))</f>
        <v>Single Cell</v>
      </c>
    </row>
    <row r="77" spans="2:11" ht="75" x14ac:dyDescent="0.25">
      <c r="B77" s="6" t="s">
        <v>854</v>
      </c>
      <c r="C77" s="8" t="s">
        <v>855</v>
      </c>
      <c r="D77" s="18" t="str">
        <f ca="1">IFERROR(INDIRECT(Table_NamedRanges[[#This Row],[Named Range Paste]]),"Undefined/Error")</f>
        <v>Undefined/Error</v>
      </c>
      <c r="E77" s="18" t="str">
        <f>Table_NamedRanges[[#This Row],[Reference Paste]]</f>
        <v>=IFERROR(NOT(VLOOKUP(Field19_Purpose,Table_Conference,MATCH(Table_Conference[[#Headers],[Form Required Available]],Table_Conference[#Headers],0),FALSE)),FALSE)</v>
      </c>
      <c r="F77" s="18" t="b">
        <f ca="1">ISERROR(VLOOKUP(Table_NamedRanges[[#This Row],[Named Range Paste]],OFFSET(INDEX(Table_ErrorList[],1,1),0,MATCH(Table_ErrorList[[#Headers],[Attention To Named Range]],Table_ErrorList[#Headers],0)-1,ROWS(Table_ErrorList[]),1),1,FALSE))=FALSE</f>
        <v>0</v>
      </c>
      <c r="G77" s="20" t="b">
        <f>MID(Table_NamedRanges[[#This Row],[Reference Text]],2,1)="'"</f>
        <v>0</v>
      </c>
      <c r="H77" s="20">
        <f>(LEN(Table_NamedRanges[[#This Row],[Reference Text]])-LEN(SUBSTITUTE(Table_NamedRanges[[#This Row],[Reference Text]],":","")))/LEN(":")</f>
        <v>0</v>
      </c>
      <c r="I77" s="20" t="b">
        <f>OR(ISERROR(FIND("[",Table_NamedRanges[[#This Row],[Reference Text]],1))=FALSE,ISERROR(FIND("]",Table_NamedRanges[[#This Row],[Reference Text]],1))=FALSE)</f>
        <v>1</v>
      </c>
      <c r="J77" s="20">
        <f>(LEN(Table_NamedRanges[[#This Row],[Reference Text]])-LEN(SUBSTITUTE(Table_NamedRanges[[#This Row],[Reference Text]],",","")))/LEN(",")</f>
        <v>7</v>
      </c>
      <c r="K77" s="20" t="str">
        <f>IF(Table_NamedRanges[[#This Row],[Starts with '']]=FALSE,"Other",IF(AND(Table_NamedRanges[[#This Row],[Count of Colon ":"]]=0,Table_NamedRanges[[#This Row],[Count of ","]]=0),"Single Cell",IF(Table_NamedRanges[[#This Row],[Count of Colon ":"]]=1,"Single Range", "Multiple (Cell or Range)")))</f>
        <v>Other</v>
      </c>
    </row>
    <row r="78" spans="2:11" x14ac:dyDescent="0.25">
      <c r="B78" s="6" t="s">
        <v>856</v>
      </c>
      <c r="C78" s="8" t="s">
        <v>857</v>
      </c>
      <c r="D78" s="18">
        <f ca="1">IFERROR(INDIRECT(Table_NamedRanges[[#This Row],[Named Range Paste]]),"Undefined/Error")</f>
        <v>2.75E-2</v>
      </c>
      <c r="E78" s="18" t="str">
        <f>Table_NamedRanges[[#This Row],[Reference Paste]]</f>
        <v>='Particulars Validation'!$AR$7</v>
      </c>
      <c r="F78" s="18" t="b">
        <f ca="1">ISERROR(VLOOKUP(Table_NamedRanges[[#This Row],[Named Range Paste]],OFFSET(INDEX(Table_ErrorList[],1,1),0,MATCH(Table_ErrorList[[#Headers],[Attention To Named Range]],Table_ErrorList[#Headers],0)-1,ROWS(Table_ErrorList[]),1),1,FALSE))=FALSE</f>
        <v>0</v>
      </c>
      <c r="G78" s="20" t="b">
        <f>MID(Table_NamedRanges[[#This Row],[Reference Text]],2,1)="'"</f>
        <v>1</v>
      </c>
      <c r="H78" s="20">
        <f>(LEN(Table_NamedRanges[[#This Row],[Reference Text]])-LEN(SUBSTITUTE(Table_NamedRanges[[#This Row],[Reference Text]],":","")))/LEN(":")</f>
        <v>0</v>
      </c>
      <c r="I78" s="20" t="b">
        <f>OR(ISERROR(FIND("[",Table_NamedRanges[[#This Row],[Reference Text]],1))=FALSE,ISERROR(FIND("]",Table_NamedRanges[[#This Row],[Reference Text]],1))=FALSE)</f>
        <v>0</v>
      </c>
      <c r="J78" s="20">
        <f>(LEN(Table_NamedRanges[[#This Row],[Reference Text]])-LEN(SUBSTITUTE(Table_NamedRanges[[#This Row],[Reference Text]],",","")))/LEN(",")</f>
        <v>0</v>
      </c>
      <c r="K78" s="20" t="str">
        <f>IF(Table_NamedRanges[[#This Row],[Starts with '']]=FALSE,"Other",IF(AND(Table_NamedRanges[[#This Row],[Count of Colon ":"]]=0,Table_NamedRanges[[#This Row],[Count of ","]]=0),"Single Cell",IF(Table_NamedRanges[[#This Row],[Count of Colon ":"]]=1,"Single Range", "Multiple (Cell or Range)")))</f>
        <v>Single Cell</v>
      </c>
    </row>
    <row r="79" spans="2:11" x14ac:dyDescent="0.25">
      <c r="B79" s="6" t="s">
        <v>858</v>
      </c>
      <c r="C79" s="8" t="s">
        <v>859</v>
      </c>
      <c r="D79" s="18">
        <f ca="1">IFERROR(INDIRECT(Table_NamedRanges[[#This Row],[Named Range Paste]]),"Undefined/Error")</f>
        <v>5.7500000000000002E-2</v>
      </c>
      <c r="E79" s="18" t="str">
        <f>Table_NamedRanges[[#This Row],[Reference Paste]]</f>
        <v>='Particulars Validation'!$AS$7</v>
      </c>
      <c r="F79" s="18" t="b">
        <f ca="1">ISERROR(VLOOKUP(Table_NamedRanges[[#This Row],[Named Range Paste]],OFFSET(INDEX(Table_ErrorList[],1,1),0,MATCH(Table_ErrorList[[#Headers],[Attention To Named Range]],Table_ErrorList[#Headers],0)-1,ROWS(Table_ErrorList[]),1),1,FALSE))=FALSE</f>
        <v>0</v>
      </c>
      <c r="G79" s="20" t="b">
        <f>MID(Table_NamedRanges[[#This Row],[Reference Text]],2,1)="'"</f>
        <v>1</v>
      </c>
      <c r="H79" s="20">
        <f>(LEN(Table_NamedRanges[[#This Row],[Reference Text]])-LEN(SUBSTITUTE(Table_NamedRanges[[#This Row],[Reference Text]],":","")))/LEN(":")</f>
        <v>0</v>
      </c>
      <c r="I79" s="20" t="b">
        <f>OR(ISERROR(FIND("[",Table_NamedRanges[[#This Row],[Reference Text]],1))=FALSE,ISERROR(FIND("]",Table_NamedRanges[[#This Row],[Reference Text]],1))=FALSE)</f>
        <v>0</v>
      </c>
      <c r="J79" s="20">
        <f>(LEN(Table_NamedRanges[[#This Row],[Reference Text]])-LEN(SUBSTITUTE(Table_NamedRanges[[#This Row],[Reference Text]],",","")))/LEN(",")</f>
        <v>0</v>
      </c>
      <c r="K79" s="20" t="str">
        <f>IF(Table_NamedRanges[[#This Row],[Starts with '']]=FALSE,"Other",IF(AND(Table_NamedRanges[[#This Row],[Count of Colon ":"]]=0,Table_NamedRanges[[#This Row],[Count of ","]]=0),"Single Cell",IF(Table_NamedRanges[[#This Row],[Count of Colon ":"]]=1,"Single Range", "Multiple (Cell or Range)")))</f>
        <v>Single Cell</v>
      </c>
    </row>
    <row r="80" spans="2:11" x14ac:dyDescent="0.25">
      <c r="B80" s="6" t="s">
        <v>860</v>
      </c>
      <c r="C80" s="8" t="s">
        <v>861</v>
      </c>
      <c r="D80" s="18">
        <f ca="1">IFERROR(INDIRECT(Table_NamedRanges[[#This Row],[Named Range Paste]]),"Undefined/Error")</f>
        <v>0.13</v>
      </c>
      <c r="E80" s="18" t="str">
        <f>Table_NamedRanges[[#This Row],[Reference Paste]]</f>
        <v>='Particulars Validation'!$AT$7</v>
      </c>
      <c r="F80" s="18" t="b">
        <f ca="1">ISERROR(VLOOKUP(Table_NamedRanges[[#This Row],[Named Range Paste]],OFFSET(INDEX(Table_ErrorList[],1,1),0,MATCH(Table_ErrorList[[#Headers],[Attention To Named Range]],Table_ErrorList[#Headers],0)-1,ROWS(Table_ErrorList[]),1),1,FALSE))=FALSE</f>
        <v>0</v>
      </c>
      <c r="G80" s="20" t="b">
        <f>MID(Table_NamedRanges[[#This Row],[Reference Text]],2,1)="'"</f>
        <v>1</v>
      </c>
      <c r="H80" s="20">
        <f>(LEN(Table_NamedRanges[[#This Row],[Reference Text]])-LEN(SUBSTITUTE(Table_NamedRanges[[#This Row],[Reference Text]],":","")))/LEN(":")</f>
        <v>0</v>
      </c>
      <c r="I80" s="20" t="b">
        <f>OR(ISERROR(FIND("[",Table_NamedRanges[[#This Row],[Reference Text]],1))=FALSE,ISERROR(FIND("]",Table_NamedRanges[[#This Row],[Reference Text]],1))=FALSE)</f>
        <v>0</v>
      </c>
      <c r="J80" s="20">
        <f>(LEN(Table_NamedRanges[[#This Row],[Reference Text]])-LEN(SUBSTITUTE(Table_NamedRanges[[#This Row],[Reference Text]],",","")))/LEN(",")</f>
        <v>0</v>
      </c>
      <c r="K80" s="20" t="str">
        <f>IF(Table_NamedRanges[[#This Row],[Starts with '']]=FALSE,"Other",IF(AND(Table_NamedRanges[[#This Row],[Count of Colon ":"]]=0,Table_NamedRanges[[#This Row],[Count of ","]]=0),"Single Cell",IF(Table_NamedRanges[[#This Row],[Count of Colon ":"]]=1,"Single Range", "Multiple (Cell or Range)")))</f>
        <v>Single Cell</v>
      </c>
    </row>
    <row r="81" spans="2:11" x14ac:dyDescent="0.25">
      <c r="B81" s="6" t="s">
        <v>862</v>
      </c>
      <c r="C81" s="8" t="s">
        <v>863</v>
      </c>
      <c r="D81" s="18" t="str">
        <f ca="1">IFERROR(INDIRECT(Table_NamedRanges[[#This Row],[Named Range Paste]]),"Undefined/Error")</f>
        <v>07-010</v>
      </c>
      <c r="E81" s="18" t="str">
        <f>Table_NamedRanges[[#This Row],[Reference Paste]]</f>
        <v>=Table_ErrorList</v>
      </c>
      <c r="F81" s="18" t="b">
        <f ca="1">ISERROR(VLOOKUP(Table_NamedRanges[[#This Row],[Named Range Paste]],OFFSET(INDEX(Table_ErrorList[],1,1),0,MATCH(Table_ErrorList[[#Headers],[Attention To Named Range]],Table_ErrorList[#Headers],0)-1,ROWS(Table_ErrorList[]),1),1,FALSE))=FALSE</f>
        <v>0</v>
      </c>
      <c r="G81" s="20" t="b">
        <f>MID(Table_NamedRanges[[#This Row],[Reference Text]],2,1)="'"</f>
        <v>0</v>
      </c>
      <c r="H81" s="20">
        <f>(LEN(Table_NamedRanges[[#This Row],[Reference Text]])-LEN(SUBSTITUTE(Table_NamedRanges[[#This Row],[Reference Text]],":","")))/LEN(":")</f>
        <v>0</v>
      </c>
      <c r="I81" s="20" t="b">
        <f>OR(ISERROR(FIND("[",Table_NamedRanges[[#This Row],[Reference Text]],1))=FALSE,ISERROR(FIND("]",Table_NamedRanges[[#This Row],[Reference Text]],1))=FALSE)</f>
        <v>0</v>
      </c>
      <c r="J81" s="20">
        <f>(LEN(Table_NamedRanges[[#This Row],[Reference Text]])-LEN(SUBSTITUTE(Table_NamedRanges[[#This Row],[Reference Text]],",","")))/LEN(",")</f>
        <v>0</v>
      </c>
      <c r="K81" s="20" t="str">
        <f>IF(Table_NamedRanges[[#This Row],[Starts with '']]=FALSE,"Other",IF(AND(Table_NamedRanges[[#This Row],[Count of Colon ":"]]=0,Table_NamedRanges[[#This Row],[Count of ","]]=0),"Single Cell",IF(Table_NamedRanges[[#This Row],[Count of Colon ":"]]=1,"Single Range", "Multiple (Cell or Range)")))</f>
        <v>Other</v>
      </c>
    </row>
    <row r="82" spans="2:11" x14ac:dyDescent="0.25">
      <c r="B82" s="6" t="s">
        <v>864</v>
      </c>
      <c r="C82" s="8" t="s">
        <v>865</v>
      </c>
      <c r="D82" s="18" t="str">
        <f ca="1">IFERROR(INDIRECT(Table_NamedRanges[[#This Row],[Named Range Paste]]),"Undefined/Error")</f>
        <v>Hierarchy</v>
      </c>
      <c r="E82" s="18" t="str">
        <f>Table_NamedRanges[[#This Row],[Reference Paste]]</f>
        <v>=Table_ErrorList[#Headers]</v>
      </c>
      <c r="F82" s="18" t="b">
        <f ca="1">ISERROR(VLOOKUP(Table_NamedRanges[[#This Row],[Named Range Paste]],OFFSET(INDEX(Table_ErrorList[],1,1),0,MATCH(Table_ErrorList[[#Headers],[Attention To Named Range]],Table_ErrorList[#Headers],0)-1,ROWS(Table_ErrorList[]),1),1,FALSE))=FALSE</f>
        <v>0</v>
      </c>
      <c r="G82" s="20" t="b">
        <f>MID(Table_NamedRanges[[#This Row],[Reference Text]],2,1)="'"</f>
        <v>0</v>
      </c>
      <c r="H82" s="20">
        <f>(LEN(Table_NamedRanges[[#This Row],[Reference Text]])-LEN(SUBSTITUTE(Table_NamedRanges[[#This Row],[Reference Text]],":","")))/LEN(":")</f>
        <v>0</v>
      </c>
      <c r="I82" s="20" t="b">
        <f>OR(ISERROR(FIND("[",Table_NamedRanges[[#This Row],[Reference Text]],1))=FALSE,ISERROR(FIND("]",Table_NamedRanges[[#This Row],[Reference Text]],1))=FALSE)</f>
        <v>1</v>
      </c>
      <c r="J82" s="20">
        <f>(LEN(Table_NamedRanges[[#This Row],[Reference Text]])-LEN(SUBSTITUTE(Table_NamedRanges[[#This Row],[Reference Text]],",","")))/LEN(",")</f>
        <v>0</v>
      </c>
      <c r="K82" s="20" t="str">
        <f>IF(Table_NamedRanges[[#This Row],[Starts with '']]=FALSE,"Other",IF(AND(Table_NamedRanges[[#This Row],[Count of Colon ":"]]=0,Table_NamedRanges[[#This Row],[Count of ","]]=0),"Single Cell",IF(Table_NamedRanges[[#This Row],[Count of Colon ":"]]=1,"Single Range", "Multiple (Cell or Range)")))</f>
        <v>Other</v>
      </c>
    </row>
    <row r="83" spans="2:11" ht="30" x14ac:dyDescent="0.25">
      <c r="B83" s="6" t="s">
        <v>866</v>
      </c>
      <c r="C83" s="8" t="s">
        <v>867</v>
      </c>
      <c r="D83" s="18" t="str">
        <f ca="1">IFERROR(INDIRECT(Table_NamedRanges[[#This Row],[Named Range Paste]]),"Undefined/Error")</f>
        <v>Undefined/Error</v>
      </c>
      <c r="E83" s="18" t="str">
        <f>Table_NamedRanges[[#This Row],[Reference Paste]]</f>
        <v>=MATCH('Kilometer Matrix (Appendix F)'!$B$3,Table_KMMatrix[Community],0)-1</v>
      </c>
      <c r="F83" s="18" t="b">
        <f ca="1">ISERROR(VLOOKUP(Table_NamedRanges[[#This Row],[Named Range Paste]],OFFSET(INDEX(Table_ErrorList[],1,1),0,MATCH(Table_ErrorList[[#Headers],[Attention To Named Range]],Table_ErrorList[#Headers],0)-1,ROWS(Table_ErrorList[]),1),1,FALSE))=FALSE</f>
        <v>0</v>
      </c>
      <c r="G83" s="20" t="b">
        <f>MID(Table_NamedRanges[[#This Row],[Reference Text]],2,1)="'"</f>
        <v>0</v>
      </c>
      <c r="H83" s="20">
        <f>(LEN(Table_NamedRanges[[#This Row],[Reference Text]])-LEN(SUBSTITUTE(Table_NamedRanges[[#This Row],[Reference Text]],":","")))/LEN(":")</f>
        <v>0</v>
      </c>
      <c r="I83" s="20" t="b">
        <f>OR(ISERROR(FIND("[",Table_NamedRanges[[#This Row],[Reference Text]],1))=FALSE,ISERROR(FIND("]",Table_NamedRanges[[#This Row],[Reference Text]],1))=FALSE)</f>
        <v>1</v>
      </c>
      <c r="J83" s="20">
        <f>(LEN(Table_NamedRanges[[#This Row],[Reference Text]])-LEN(SUBSTITUTE(Table_NamedRanges[[#This Row],[Reference Text]],",","")))/LEN(",")</f>
        <v>2</v>
      </c>
      <c r="K83" s="20" t="str">
        <f>IF(Table_NamedRanges[[#This Row],[Starts with '']]=FALSE,"Other",IF(AND(Table_NamedRanges[[#This Row],[Count of Colon ":"]]=0,Table_NamedRanges[[#This Row],[Count of ","]]=0),"Single Cell",IF(Table_NamedRanges[[#This Row],[Count of Colon ":"]]=1,"Single Range", "Multiple (Cell or Range)")))</f>
        <v>Other</v>
      </c>
    </row>
    <row r="84" spans="2:11" ht="105" x14ac:dyDescent="0.25">
      <c r="B84" s="6" t="s">
        <v>868</v>
      </c>
      <c r="C84" s="8" t="s">
        <v>869</v>
      </c>
      <c r="D84" s="18" t="str">
        <f ca="1">IFERROR(INDIRECT(Table_NamedRanges[[#This Row],[Named Range Paste]]),"Undefined/Error")</f>
        <v>Undefined/Error</v>
      </c>
      <c r="E84" s="18" t="str">
        <f>Table_NamedRanges[[#This Row],[Reference Paste]]</f>
        <v xml:space="preserve">=CELL("address",'Kilometer Matrix (Appendix F)'!XEW75) "address" OFFSET(INDEX(Table_KMMatrix,1,1),MATCH('Kilometer Matrix (Appendix F)'!$B$3,Table_KMMatrix[Community],0)-1,MATCH('Kilometer Matrix (Appendix F)'!$D$3,Table_KMMatrix[#Headers],0)-1,1,1) </v>
      </c>
      <c r="F84" s="18" t="b">
        <f ca="1">ISERROR(VLOOKUP(Table_NamedRanges[[#This Row],[Named Range Paste]],OFFSET(INDEX(Table_ErrorList[],1,1),0,MATCH(Table_ErrorList[[#Headers],[Attention To Named Range]],Table_ErrorList[#Headers],0)-1,ROWS(Table_ErrorList[]),1),1,FALSE))=FALSE</f>
        <v>0</v>
      </c>
      <c r="G84" s="20" t="b">
        <f>MID(Table_NamedRanges[[#This Row],[Reference Text]],2,1)="'"</f>
        <v>0</v>
      </c>
      <c r="H84" s="20">
        <f>(LEN(Table_NamedRanges[[#This Row],[Reference Text]])-LEN(SUBSTITUTE(Table_NamedRanges[[#This Row],[Reference Text]],":","")))/LEN(":")</f>
        <v>0</v>
      </c>
      <c r="I84" s="20" t="b">
        <f>OR(ISERROR(FIND("[",Table_NamedRanges[[#This Row],[Reference Text]],1))=FALSE,ISERROR(FIND("]",Table_NamedRanges[[#This Row],[Reference Text]],1))=FALSE)</f>
        <v>1</v>
      </c>
      <c r="J84" s="20">
        <f>(LEN(Table_NamedRanges[[#This Row],[Reference Text]])-LEN(SUBSTITUTE(Table_NamedRanges[[#This Row],[Reference Text]],",","")))/LEN(",")</f>
        <v>11</v>
      </c>
      <c r="K84" s="20" t="str">
        <f>IF(Table_NamedRanges[[#This Row],[Starts with '']]=FALSE,"Other",IF(AND(Table_NamedRanges[[#This Row],[Count of Colon ":"]]=0,Table_NamedRanges[[#This Row],[Count of ","]]=0),"Single Cell",IF(Table_NamedRanges[[#This Row],[Count of Colon ":"]]=1,"Single Range", "Multiple (Cell or Range)")))</f>
        <v>Other</v>
      </c>
    </row>
    <row r="85" spans="2:11" ht="30" x14ac:dyDescent="0.25">
      <c r="B85" s="6" t="s">
        <v>870</v>
      </c>
      <c r="C85" s="8" t="s">
        <v>871</v>
      </c>
      <c r="D85" s="18" t="str">
        <f ca="1">IFERROR(INDIRECT(Table_NamedRanges[[#This Row],[Named Range Paste]]),"Undefined/Error")</f>
        <v>Undefined/Error</v>
      </c>
      <c r="E85" s="18" t="str">
        <f>Table_NamedRanges[[#This Row],[Reference Paste]]</f>
        <v>=MATCH('Kilometer Matrix (Appendix F)'!$D$3,Table_KMMatrix[#Headers],0)-1</v>
      </c>
      <c r="F85" s="18" t="b">
        <f ca="1">ISERROR(VLOOKUP(Table_NamedRanges[[#This Row],[Named Range Paste]],OFFSET(INDEX(Table_ErrorList[],1,1),0,MATCH(Table_ErrorList[[#Headers],[Attention To Named Range]],Table_ErrorList[#Headers],0)-1,ROWS(Table_ErrorList[]),1),1,FALSE))=FALSE</f>
        <v>0</v>
      </c>
      <c r="G85" s="20" t="b">
        <f>MID(Table_NamedRanges[[#This Row],[Reference Text]],2,1)="'"</f>
        <v>0</v>
      </c>
      <c r="H85" s="20">
        <f>(LEN(Table_NamedRanges[[#This Row],[Reference Text]])-LEN(SUBSTITUTE(Table_NamedRanges[[#This Row],[Reference Text]],":","")))/LEN(":")</f>
        <v>0</v>
      </c>
      <c r="I85" s="20" t="b">
        <f>OR(ISERROR(FIND("[",Table_NamedRanges[[#This Row],[Reference Text]],1))=FALSE,ISERROR(FIND("]",Table_NamedRanges[[#This Row],[Reference Text]],1))=FALSE)</f>
        <v>1</v>
      </c>
      <c r="J85" s="20">
        <f>(LEN(Table_NamedRanges[[#This Row],[Reference Text]])-LEN(SUBSTITUTE(Table_NamedRanges[[#This Row],[Reference Text]],",","")))/LEN(",")</f>
        <v>2</v>
      </c>
      <c r="K85" s="20" t="str">
        <f>IF(Table_NamedRanges[[#This Row],[Starts with '']]=FALSE,"Other",IF(AND(Table_NamedRanges[[#This Row],[Count of Colon ":"]]=0,Table_NamedRanges[[#This Row],[Count of ","]]=0),"Single Cell",IF(Table_NamedRanges[[#This Row],[Count of Colon ":"]]=1,"Single Range", "Multiple (Cell or Range)")))</f>
        <v>Other</v>
      </c>
    </row>
    <row r="86" spans="2:11" x14ac:dyDescent="0.25">
      <c r="B86" s="6" t="s">
        <v>872</v>
      </c>
      <c r="C86" s="8" t="s">
        <v>873</v>
      </c>
      <c r="D86" s="18" t="str">
        <f ca="1">IFERROR(INDIRECT(Table_NamedRanges[[#This Row],[Named Range Paste]]),"Undefined/Error")</f>
        <v>Undefined/Error</v>
      </c>
      <c r="E86" s="18" t="str">
        <f>Table_NamedRanges[[#This Row],[Reference Paste]]</f>
        <v>=INDEX(Table_KMMatrix,1,1)</v>
      </c>
      <c r="F86" s="18" t="b">
        <f ca="1">ISERROR(VLOOKUP(Table_NamedRanges[[#This Row],[Named Range Paste]],OFFSET(INDEX(Table_ErrorList[],1,1),0,MATCH(Table_ErrorList[[#Headers],[Attention To Named Range]],Table_ErrorList[#Headers],0)-1,ROWS(Table_ErrorList[]),1),1,FALSE))=FALSE</f>
        <v>0</v>
      </c>
      <c r="G86" s="20" t="b">
        <f>MID(Table_NamedRanges[[#This Row],[Reference Text]],2,1)="'"</f>
        <v>0</v>
      </c>
      <c r="H86" s="20">
        <f>(LEN(Table_NamedRanges[[#This Row],[Reference Text]])-LEN(SUBSTITUTE(Table_NamedRanges[[#This Row],[Reference Text]],":","")))/LEN(":")</f>
        <v>0</v>
      </c>
      <c r="I86" s="20" t="b">
        <f>OR(ISERROR(FIND("[",Table_NamedRanges[[#This Row],[Reference Text]],1))=FALSE,ISERROR(FIND("]",Table_NamedRanges[[#This Row],[Reference Text]],1))=FALSE)</f>
        <v>0</v>
      </c>
      <c r="J86" s="20">
        <f>(LEN(Table_NamedRanges[[#This Row],[Reference Text]])-LEN(SUBSTITUTE(Table_NamedRanges[[#This Row],[Reference Text]],",","")))/LEN(",")</f>
        <v>2</v>
      </c>
      <c r="K86" s="20" t="str">
        <f>IF(Table_NamedRanges[[#This Row],[Starts with '']]=FALSE,"Other",IF(AND(Table_NamedRanges[[#This Row],[Count of Colon ":"]]=0,Table_NamedRanges[[#This Row],[Count of ","]]=0),"Single Cell",IF(Table_NamedRanges[[#This Row],[Count of Colon ":"]]=1,"Single Range", "Multiple (Cell or Range)")))</f>
        <v>Other</v>
      </c>
    </row>
    <row r="87" spans="2:11" x14ac:dyDescent="0.25">
      <c r="B87" s="6" t="s">
        <v>874</v>
      </c>
      <c r="C87" s="8" t="s">
        <v>875</v>
      </c>
      <c r="D87" s="18" t="str">
        <f ca="1">IFERROR(INDIRECT(Table_NamedRanges[[#This Row],[Named Range Paste]]),"Undefined/Error")</f>
        <v>Undefined/Error</v>
      </c>
      <c r="E87" s="18" t="str">
        <f>Table_NamedRanges[[#This Row],[Reference Paste]]</f>
        <v>=Table_ClaimStatus[Calculation]</v>
      </c>
      <c r="F87" s="18" t="b">
        <f ca="1">ISERROR(VLOOKUP(Table_NamedRanges[[#This Row],[Named Range Paste]],OFFSET(INDEX(Table_ErrorList[],1,1),0,MATCH(Table_ErrorList[[#Headers],[Attention To Named Range]],Table_ErrorList[#Headers],0)-1,ROWS(Table_ErrorList[]),1),1,FALSE))=FALSE</f>
        <v>0</v>
      </c>
      <c r="G87" s="20" t="b">
        <f>MID(Table_NamedRanges[[#This Row],[Reference Text]],2,1)="'"</f>
        <v>0</v>
      </c>
      <c r="H87" s="20">
        <f>(LEN(Table_NamedRanges[[#This Row],[Reference Text]])-LEN(SUBSTITUTE(Table_NamedRanges[[#This Row],[Reference Text]],":","")))/LEN(":")</f>
        <v>0</v>
      </c>
      <c r="I87" s="20" t="b">
        <f>OR(ISERROR(FIND("[",Table_NamedRanges[[#This Row],[Reference Text]],1))=FALSE,ISERROR(FIND("]",Table_NamedRanges[[#This Row],[Reference Text]],1))=FALSE)</f>
        <v>1</v>
      </c>
      <c r="J87" s="20">
        <f>(LEN(Table_NamedRanges[[#This Row],[Reference Text]])-LEN(SUBSTITUTE(Table_NamedRanges[[#This Row],[Reference Text]],",","")))/LEN(",")</f>
        <v>0</v>
      </c>
      <c r="K87" s="20" t="str">
        <f>IF(Table_NamedRanges[[#This Row],[Starts with '']]=FALSE,"Other",IF(AND(Table_NamedRanges[[#This Row],[Count of Colon ":"]]=0,Table_NamedRanges[[#This Row],[Count of ","]]=0),"Single Cell",IF(Table_NamedRanges[[#This Row],[Count of Colon ":"]]=1,"Single Range", "Multiple (Cell or Range)")))</f>
        <v>Other</v>
      </c>
    </row>
    <row r="88" spans="2:11" x14ac:dyDescent="0.25">
      <c r="B88" s="6" t="s">
        <v>876</v>
      </c>
      <c r="C88" s="8" t="s">
        <v>877</v>
      </c>
      <c r="D88" s="18" t="str">
        <f ca="1">IFERROR(INDIRECT(Table_NamedRanges[[#This Row],[Named Range Paste]]),"Undefined/Error")</f>
        <v>Undefined/Error</v>
      </c>
      <c r="E88" s="18" t="str">
        <f>Table_NamedRanges[[#This Row],[Reference Paste]]</f>
        <v>=Table_ClaimStatus[COLOUR ON]</v>
      </c>
      <c r="F88" s="18" t="b">
        <f ca="1">ISERROR(VLOOKUP(Table_NamedRanges[[#This Row],[Named Range Paste]],OFFSET(INDEX(Table_ErrorList[],1,1),0,MATCH(Table_ErrorList[[#Headers],[Attention To Named Range]],Table_ErrorList[#Headers],0)-1,ROWS(Table_ErrorList[]),1),1,FALSE))=FALSE</f>
        <v>0</v>
      </c>
      <c r="G88" s="20" t="b">
        <f>MID(Table_NamedRanges[[#This Row],[Reference Text]],2,1)="'"</f>
        <v>0</v>
      </c>
      <c r="H88" s="20">
        <f>(LEN(Table_NamedRanges[[#This Row],[Reference Text]])-LEN(SUBSTITUTE(Table_NamedRanges[[#This Row],[Reference Text]],":","")))/LEN(":")</f>
        <v>0</v>
      </c>
      <c r="I88" s="20" t="b">
        <f>OR(ISERROR(FIND("[",Table_NamedRanges[[#This Row],[Reference Text]],1))=FALSE,ISERROR(FIND("]",Table_NamedRanges[[#This Row],[Reference Text]],1))=FALSE)</f>
        <v>1</v>
      </c>
      <c r="J88" s="20">
        <f>(LEN(Table_NamedRanges[[#This Row],[Reference Text]])-LEN(SUBSTITUTE(Table_NamedRanges[[#This Row],[Reference Text]],",","")))/LEN(",")</f>
        <v>0</v>
      </c>
      <c r="K88" s="20" t="str">
        <f>IF(Table_NamedRanges[[#This Row],[Starts with '']]=FALSE,"Other",IF(AND(Table_NamedRanges[[#This Row],[Count of Colon ":"]]=0,Table_NamedRanges[[#This Row],[Count of ","]]=0),"Single Cell",IF(Table_NamedRanges[[#This Row],[Count of Colon ":"]]=1,"Single Range", "Multiple (Cell or Range)")))</f>
        <v>Other</v>
      </c>
    </row>
    <row r="89" spans="2:11" x14ac:dyDescent="0.25">
      <c r="B89" s="6" t="s">
        <v>878</v>
      </c>
      <c r="C89" s="8" t="s">
        <v>879</v>
      </c>
      <c r="D89" s="18" t="str">
        <f ca="1">IFERROR(INDIRECT(Table_NamedRanges[[#This Row],[Named Range Paste]]),"Undefined/Error")</f>
        <v>Undefined/Error</v>
      </c>
      <c r="E89" s="18" t="str">
        <f>Table_NamedRanges[[#This Row],[Reference Paste]]</f>
        <v>='Travel Expense Summary'!$P$13:$P$22</v>
      </c>
      <c r="F89" s="18" t="b">
        <f ca="1">ISERROR(VLOOKUP(Table_NamedRanges[[#This Row],[Named Range Paste]],OFFSET(INDEX(Table_ErrorList[],1,1),0,MATCH(Table_ErrorList[[#Headers],[Attention To Named Range]],Table_ErrorList[#Headers],0)-1,ROWS(Table_ErrorList[]),1),1,FALSE))=FALSE</f>
        <v>0</v>
      </c>
      <c r="G89" s="20" t="b">
        <f>MID(Table_NamedRanges[[#This Row],[Reference Text]],2,1)="'"</f>
        <v>1</v>
      </c>
      <c r="H89" s="20">
        <f>(LEN(Table_NamedRanges[[#This Row],[Reference Text]])-LEN(SUBSTITUTE(Table_NamedRanges[[#This Row],[Reference Text]],":","")))/LEN(":")</f>
        <v>1</v>
      </c>
      <c r="I89" s="20" t="b">
        <f>OR(ISERROR(FIND("[",Table_NamedRanges[[#This Row],[Reference Text]],1))=FALSE,ISERROR(FIND("]",Table_NamedRanges[[#This Row],[Reference Text]],1))=FALSE)</f>
        <v>0</v>
      </c>
      <c r="J89" s="20">
        <f>(LEN(Table_NamedRanges[[#This Row],[Reference Text]])-LEN(SUBSTITUTE(Table_NamedRanges[[#This Row],[Reference Text]],",","")))/LEN(",")</f>
        <v>0</v>
      </c>
      <c r="K89" s="20" t="str">
        <f>IF(Table_NamedRanges[[#This Row],[Starts with '']]=FALSE,"Other",IF(AND(Table_NamedRanges[[#This Row],[Count of Colon ":"]]=0,Table_NamedRanges[[#This Row],[Count of ","]]=0),"Single Cell",IF(Table_NamedRanges[[#This Row],[Count of Colon ":"]]=1,"Single Range", "Multiple (Cell or Range)")))</f>
        <v>Single Range</v>
      </c>
    </row>
    <row r="90" spans="2:11" x14ac:dyDescent="0.25">
      <c r="B90" s="6" t="s">
        <v>880</v>
      </c>
      <c r="C90" s="8" t="s">
        <v>881</v>
      </c>
      <c r="D90" s="18">
        <f ca="1">IFERROR(INDIRECT(Table_NamedRanges[[#This Row],[Named Range Paste]]),"Undefined/Error")</f>
        <v>16</v>
      </c>
      <c r="E90" s="18" t="str">
        <f>Table_NamedRanges[[#This Row],[Reference Paste]]</f>
        <v>='Meal Validation'!$D$10</v>
      </c>
      <c r="F90" s="18" t="b">
        <f ca="1">ISERROR(VLOOKUP(Table_NamedRanges[[#This Row],[Named Range Paste]],OFFSET(INDEX(Table_ErrorList[],1,1),0,MATCH(Table_ErrorList[[#Headers],[Attention To Named Range]],Table_ErrorList[#Headers],0)-1,ROWS(Table_ErrorList[]),1),1,FALSE))=FALSE</f>
        <v>0</v>
      </c>
      <c r="G90" s="20" t="b">
        <f>MID(Table_NamedRanges[[#This Row],[Reference Text]],2,1)="'"</f>
        <v>1</v>
      </c>
      <c r="H90" s="20">
        <f>(LEN(Table_NamedRanges[[#This Row],[Reference Text]])-LEN(SUBSTITUTE(Table_NamedRanges[[#This Row],[Reference Text]],":","")))/LEN(":")</f>
        <v>0</v>
      </c>
      <c r="I90" s="20" t="b">
        <f>OR(ISERROR(FIND("[",Table_NamedRanges[[#This Row],[Reference Text]],1))=FALSE,ISERROR(FIND("]",Table_NamedRanges[[#This Row],[Reference Text]],1))=FALSE)</f>
        <v>0</v>
      </c>
      <c r="J90" s="20">
        <f>(LEN(Table_NamedRanges[[#This Row],[Reference Text]])-LEN(SUBSTITUTE(Table_NamedRanges[[#This Row],[Reference Text]],",","")))/LEN(",")</f>
        <v>0</v>
      </c>
      <c r="K90" s="20" t="str">
        <f>IF(Table_NamedRanges[[#This Row],[Starts with '']]=FALSE,"Other",IF(AND(Table_NamedRanges[[#This Row],[Count of Colon ":"]]=0,Table_NamedRanges[[#This Row],[Count of ","]]=0),"Single Cell",IF(Table_NamedRanges[[#This Row],[Count of Colon ":"]]=1,"Single Range", "Multiple (Cell or Range)")))</f>
        <v>Single Cell</v>
      </c>
    </row>
    <row r="91" spans="2:11" x14ac:dyDescent="0.25">
      <c r="B91" s="6" t="s">
        <v>882</v>
      </c>
      <c r="C91" s="8" t="s">
        <v>883</v>
      </c>
      <c r="D91" s="18">
        <f ca="1">IFERROR(INDIRECT(Table_NamedRanges[[#This Row],[Named Range Paste]]),"Undefined/Error")</f>
        <v>42</v>
      </c>
      <c r="E91" s="18" t="str">
        <f>Table_NamedRanges[[#This Row],[Reference Paste]]</f>
        <v>='Meal Validation'!$D$12</v>
      </c>
      <c r="F91" s="18" t="b">
        <f ca="1">ISERROR(VLOOKUP(Table_NamedRanges[[#This Row],[Named Range Paste]],OFFSET(INDEX(Table_ErrorList[],1,1),0,MATCH(Table_ErrorList[[#Headers],[Attention To Named Range]],Table_ErrorList[#Headers],0)-1,ROWS(Table_ErrorList[]),1),1,FALSE))=FALSE</f>
        <v>0</v>
      </c>
      <c r="G91" s="20" t="b">
        <f>MID(Table_NamedRanges[[#This Row],[Reference Text]],2,1)="'"</f>
        <v>1</v>
      </c>
      <c r="H91" s="20">
        <f>(LEN(Table_NamedRanges[[#This Row],[Reference Text]])-LEN(SUBSTITUTE(Table_NamedRanges[[#This Row],[Reference Text]],":","")))/LEN(":")</f>
        <v>0</v>
      </c>
      <c r="I91" s="20" t="b">
        <f>OR(ISERROR(FIND("[",Table_NamedRanges[[#This Row],[Reference Text]],1))=FALSE,ISERROR(FIND("]",Table_NamedRanges[[#This Row],[Reference Text]],1))=FALSE)</f>
        <v>0</v>
      </c>
      <c r="J91" s="20">
        <f>(LEN(Table_NamedRanges[[#This Row],[Reference Text]])-LEN(SUBSTITUTE(Table_NamedRanges[[#This Row],[Reference Text]],",","")))/LEN(",")</f>
        <v>0</v>
      </c>
      <c r="K91" s="20" t="str">
        <f>IF(Table_NamedRanges[[#This Row],[Starts with '']]=FALSE,"Other",IF(AND(Table_NamedRanges[[#This Row],[Count of Colon ":"]]=0,Table_NamedRanges[[#This Row],[Count of ","]]=0),"Single Cell",IF(Table_NamedRanges[[#This Row],[Count of Colon ":"]]=1,"Single Range", "Multiple (Cell or Range)")))</f>
        <v>Single Cell</v>
      </c>
    </row>
    <row r="92" spans="2:11" x14ac:dyDescent="0.25">
      <c r="B92" s="6" t="s">
        <v>884</v>
      </c>
      <c r="C92" s="8" t="s">
        <v>885</v>
      </c>
      <c r="D92" s="18">
        <f ca="1">IFERROR(INDIRECT(Table_NamedRanges[[#This Row],[Named Range Paste]]),"Undefined/Error")</f>
        <v>17</v>
      </c>
      <c r="E92" s="18" t="str">
        <f>Table_NamedRanges[[#This Row],[Reference Paste]]</f>
        <v>='Meal Validation'!$D$11</v>
      </c>
      <c r="F92" s="18" t="b">
        <f ca="1">ISERROR(VLOOKUP(Table_NamedRanges[[#This Row],[Named Range Paste]],OFFSET(INDEX(Table_ErrorList[],1,1),0,MATCH(Table_ErrorList[[#Headers],[Attention To Named Range]],Table_ErrorList[#Headers],0)-1,ROWS(Table_ErrorList[]),1),1,FALSE))=FALSE</f>
        <v>0</v>
      </c>
      <c r="G92" s="20" t="b">
        <f>MID(Table_NamedRanges[[#This Row],[Reference Text]],2,1)="'"</f>
        <v>1</v>
      </c>
      <c r="H92" s="20">
        <f>(LEN(Table_NamedRanges[[#This Row],[Reference Text]])-LEN(SUBSTITUTE(Table_NamedRanges[[#This Row],[Reference Text]],":","")))/LEN(":")</f>
        <v>0</v>
      </c>
      <c r="I92" s="20" t="b">
        <f>OR(ISERROR(FIND("[",Table_NamedRanges[[#This Row],[Reference Text]],1))=FALSE,ISERROR(FIND("]",Table_NamedRanges[[#This Row],[Reference Text]],1))=FALSE)</f>
        <v>0</v>
      </c>
      <c r="J92" s="20">
        <f>(LEN(Table_NamedRanges[[#This Row],[Reference Text]])-LEN(SUBSTITUTE(Table_NamedRanges[[#This Row],[Reference Text]],",","")))/LEN(",")</f>
        <v>0</v>
      </c>
      <c r="K92" s="20" t="str">
        <f>IF(Table_NamedRanges[[#This Row],[Starts with '']]=FALSE,"Other",IF(AND(Table_NamedRanges[[#This Row],[Count of Colon ":"]]=0,Table_NamedRanges[[#This Row],[Count of ","]]=0),"Single Cell",IF(Table_NamedRanges[[#This Row],[Count of Colon ":"]]=1,"Single Range", "Multiple (Cell or Range)")))</f>
        <v>Single Cell</v>
      </c>
    </row>
    <row r="93" spans="2:11" x14ac:dyDescent="0.25">
      <c r="B93" s="6" t="s">
        <v>351</v>
      </c>
      <c r="C93" s="8" t="s">
        <v>886</v>
      </c>
      <c r="D93" s="18">
        <f ca="1">IFERROR(INDIRECT(Table_NamedRanges[[#This Row],[Named Range Paste]]),"Undefined/Error")</f>
        <v>0</v>
      </c>
      <c r="E93" s="18" t="str">
        <f>Table_NamedRanges[[#This Row],[Reference Paste]]</f>
        <v>='Travel Expense Summary'!$P$13</v>
      </c>
      <c r="F93" s="18" t="b">
        <f ca="1">ISERROR(VLOOKUP(Table_NamedRanges[[#This Row],[Named Range Paste]],OFFSET(INDEX(Table_ErrorList[],1,1),0,MATCH(Table_ErrorList[[#Headers],[Attention To Named Range]],Table_ErrorList[#Headers],0)-1,ROWS(Table_ErrorList[]),1),1,FALSE))=FALSE</f>
        <v>1</v>
      </c>
      <c r="G93" s="20" t="b">
        <f>MID(Table_NamedRanges[[#This Row],[Reference Text]],2,1)="'"</f>
        <v>1</v>
      </c>
      <c r="H93" s="20">
        <f>(LEN(Table_NamedRanges[[#This Row],[Reference Text]])-LEN(SUBSTITUTE(Table_NamedRanges[[#This Row],[Reference Text]],":","")))/LEN(":")</f>
        <v>0</v>
      </c>
      <c r="I93" s="20" t="b">
        <f>OR(ISERROR(FIND("[",Table_NamedRanges[[#This Row],[Reference Text]],1))=FALSE,ISERROR(FIND("]",Table_NamedRanges[[#This Row],[Reference Text]],1))=FALSE)</f>
        <v>0</v>
      </c>
      <c r="J93" s="20">
        <f>(LEN(Table_NamedRanges[[#This Row],[Reference Text]])-LEN(SUBSTITUTE(Table_NamedRanges[[#This Row],[Reference Text]],",","")))/LEN(",")</f>
        <v>0</v>
      </c>
      <c r="K93" s="20" t="str">
        <f>IF(Table_NamedRanges[[#This Row],[Starts with '']]=FALSE,"Other",IF(AND(Table_NamedRanges[[#This Row],[Count of Colon ":"]]=0,Table_NamedRanges[[#This Row],[Count of ","]]=0),"Single Cell",IF(Table_NamedRanges[[#This Row],[Count of Colon ":"]]=1,"Single Range", "Multiple (Cell or Range)")))</f>
        <v>Single Cell</v>
      </c>
    </row>
    <row r="94" spans="2:11" x14ac:dyDescent="0.25">
      <c r="B94" s="6" t="s">
        <v>365</v>
      </c>
      <c r="C94" s="8" t="s">
        <v>887</v>
      </c>
      <c r="D94" s="18">
        <f ca="1">IFERROR(INDIRECT(Table_NamedRanges[[#This Row],[Named Range Paste]]),"Undefined/Error")</f>
        <v>0</v>
      </c>
      <c r="E94" s="18" t="str">
        <f>Table_NamedRanges[[#This Row],[Reference Paste]]</f>
        <v>='Travel Expense Summary'!$P$14</v>
      </c>
      <c r="F94" s="18" t="b">
        <f ca="1">ISERROR(VLOOKUP(Table_NamedRanges[[#This Row],[Named Range Paste]],OFFSET(INDEX(Table_ErrorList[],1,1),0,MATCH(Table_ErrorList[[#Headers],[Attention To Named Range]],Table_ErrorList[#Headers],0)-1,ROWS(Table_ErrorList[]),1),1,FALSE))=FALSE</f>
        <v>1</v>
      </c>
      <c r="G94" s="20" t="b">
        <f>MID(Table_NamedRanges[[#This Row],[Reference Text]],2,1)="'"</f>
        <v>1</v>
      </c>
      <c r="H94" s="20">
        <f>(LEN(Table_NamedRanges[[#This Row],[Reference Text]])-LEN(SUBSTITUTE(Table_NamedRanges[[#This Row],[Reference Text]],":","")))/LEN(":")</f>
        <v>0</v>
      </c>
      <c r="I94" s="20" t="b">
        <f>OR(ISERROR(FIND("[",Table_NamedRanges[[#This Row],[Reference Text]],1))=FALSE,ISERROR(FIND("]",Table_NamedRanges[[#This Row],[Reference Text]],1))=FALSE)</f>
        <v>0</v>
      </c>
      <c r="J94" s="20">
        <f>(LEN(Table_NamedRanges[[#This Row],[Reference Text]])-LEN(SUBSTITUTE(Table_NamedRanges[[#This Row],[Reference Text]],",","")))/LEN(",")</f>
        <v>0</v>
      </c>
      <c r="K94" s="20" t="str">
        <f>IF(Table_NamedRanges[[#This Row],[Starts with '']]=FALSE,"Other",IF(AND(Table_NamedRanges[[#This Row],[Count of Colon ":"]]=0,Table_NamedRanges[[#This Row],[Count of ","]]=0),"Single Cell",IF(Table_NamedRanges[[#This Row],[Count of Colon ":"]]=1,"Single Range", "Multiple (Cell or Range)")))</f>
        <v>Single Cell</v>
      </c>
    </row>
    <row r="95" spans="2:11" x14ac:dyDescent="0.25">
      <c r="B95" s="6" t="s">
        <v>371</v>
      </c>
      <c r="C95" s="8" t="s">
        <v>888</v>
      </c>
      <c r="D95" s="18">
        <f ca="1">IFERROR(INDIRECT(Table_NamedRanges[[#This Row],[Named Range Paste]]),"Undefined/Error")</f>
        <v>0</v>
      </c>
      <c r="E95" s="18" t="str">
        <f>Table_NamedRanges[[#This Row],[Reference Paste]]</f>
        <v>='Travel Expense Summary'!$P$15</v>
      </c>
      <c r="F95" s="18" t="b">
        <f ca="1">ISERROR(VLOOKUP(Table_NamedRanges[[#This Row],[Named Range Paste]],OFFSET(INDEX(Table_ErrorList[],1,1),0,MATCH(Table_ErrorList[[#Headers],[Attention To Named Range]],Table_ErrorList[#Headers],0)-1,ROWS(Table_ErrorList[]),1),1,FALSE))=FALSE</f>
        <v>1</v>
      </c>
      <c r="G95" s="20" t="b">
        <f>MID(Table_NamedRanges[[#This Row],[Reference Text]],2,1)="'"</f>
        <v>1</v>
      </c>
      <c r="H95" s="20">
        <f>(LEN(Table_NamedRanges[[#This Row],[Reference Text]])-LEN(SUBSTITUTE(Table_NamedRanges[[#This Row],[Reference Text]],":","")))/LEN(":")</f>
        <v>0</v>
      </c>
      <c r="I95" s="20" t="b">
        <f>OR(ISERROR(FIND("[",Table_NamedRanges[[#This Row],[Reference Text]],1))=FALSE,ISERROR(FIND("]",Table_NamedRanges[[#This Row],[Reference Text]],1))=FALSE)</f>
        <v>0</v>
      </c>
      <c r="J95" s="20">
        <f>(LEN(Table_NamedRanges[[#This Row],[Reference Text]])-LEN(SUBSTITUTE(Table_NamedRanges[[#This Row],[Reference Text]],",","")))/LEN(",")</f>
        <v>0</v>
      </c>
      <c r="K95" s="20" t="str">
        <f>IF(Table_NamedRanges[[#This Row],[Starts with '']]=FALSE,"Other",IF(AND(Table_NamedRanges[[#This Row],[Count of Colon ":"]]=0,Table_NamedRanges[[#This Row],[Count of ","]]=0),"Single Cell",IF(Table_NamedRanges[[#This Row],[Count of Colon ":"]]=1,"Single Range", "Multiple (Cell or Range)")))</f>
        <v>Single Cell</v>
      </c>
    </row>
    <row r="96" spans="2:11" x14ac:dyDescent="0.25">
      <c r="B96" s="6" t="s">
        <v>376</v>
      </c>
      <c r="C96" s="8" t="s">
        <v>889</v>
      </c>
      <c r="D96" s="18">
        <f ca="1">IFERROR(INDIRECT(Table_NamedRanges[[#This Row],[Named Range Paste]]),"Undefined/Error")</f>
        <v>0</v>
      </c>
      <c r="E96" s="18" t="str">
        <f>Table_NamedRanges[[#This Row],[Reference Paste]]</f>
        <v>='Travel Expense Summary'!$P$16</v>
      </c>
      <c r="F96" s="18" t="b">
        <f ca="1">ISERROR(VLOOKUP(Table_NamedRanges[[#This Row],[Named Range Paste]],OFFSET(INDEX(Table_ErrorList[],1,1),0,MATCH(Table_ErrorList[[#Headers],[Attention To Named Range]],Table_ErrorList[#Headers],0)-1,ROWS(Table_ErrorList[]),1),1,FALSE))=FALSE</f>
        <v>1</v>
      </c>
      <c r="G96" s="20" t="b">
        <f>MID(Table_NamedRanges[[#This Row],[Reference Text]],2,1)="'"</f>
        <v>1</v>
      </c>
      <c r="H96" s="20">
        <f>(LEN(Table_NamedRanges[[#This Row],[Reference Text]])-LEN(SUBSTITUTE(Table_NamedRanges[[#This Row],[Reference Text]],":","")))/LEN(":")</f>
        <v>0</v>
      </c>
      <c r="I96" s="20" t="b">
        <f>OR(ISERROR(FIND("[",Table_NamedRanges[[#This Row],[Reference Text]],1))=FALSE,ISERROR(FIND("]",Table_NamedRanges[[#This Row],[Reference Text]],1))=FALSE)</f>
        <v>0</v>
      </c>
      <c r="J96" s="20">
        <f>(LEN(Table_NamedRanges[[#This Row],[Reference Text]])-LEN(SUBSTITUTE(Table_NamedRanges[[#This Row],[Reference Text]],",","")))/LEN(",")</f>
        <v>0</v>
      </c>
      <c r="K96" s="20" t="str">
        <f>IF(Table_NamedRanges[[#This Row],[Starts with '']]=FALSE,"Other",IF(AND(Table_NamedRanges[[#This Row],[Count of Colon ":"]]=0,Table_NamedRanges[[#This Row],[Count of ","]]=0),"Single Cell",IF(Table_NamedRanges[[#This Row],[Count of Colon ":"]]=1,"Single Range", "Multiple (Cell or Range)")))</f>
        <v>Single Cell</v>
      </c>
    </row>
    <row r="97" spans="2:11" x14ac:dyDescent="0.25">
      <c r="B97" s="6" t="s">
        <v>381</v>
      </c>
      <c r="C97" s="8" t="s">
        <v>890</v>
      </c>
      <c r="D97" s="18">
        <f ca="1">IFERROR(INDIRECT(Table_NamedRanges[[#This Row],[Named Range Paste]]),"Undefined/Error")</f>
        <v>0</v>
      </c>
      <c r="E97" s="18" t="str">
        <f>Table_NamedRanges[[#This Row],[Reference Paste]]</f>
        <v>='Travel Expense Summary'!$P$17</v>
      </c>
      <c r="F97" s="18" t="b">
        <f ca="1">ISERROR(VLOOKUP(Table_NamedRanges[[#This Row],[Named Range Paste]],OFFSET(INDEX(Table_ErrorList[],1,1),0,MATCH(Table_ErrorList[[#Headers],[Attention To Named Range]],Table_ErrorList[#Headers],0)-1,ROWS(Table_ErrorList[]),1),1,FALSE))=FALSE</f>
        <v>1</v>
      </c>
      <c r="G97" s="20" t="b">
        <f>MID(Table_NamedRanges[[#This Row],[Reference Text]],2,1)="'"</f>
        <v>1</v>
      </c>
      <c r="H97" s="20">
        <f>(LEN(Table_NamedRanges[[#This Row],[Reference Text]])-LEN(SUBSTITUTE(Table_NamedRanges[[#This Row],[Reference Text]],":","")))/LEN(":")</f>
        <v>0</v>
      </c>
      <c r="I97" s="20" t="b">
        <f>OR(ISERROR(FIND("[",Table_NamedRanges[[#This Row],[Reference Text]],1))=FALSE,ISERROR(FIND("]",Table_NamedRanges[[#This Row],[Reference Text]],1))=FALSE)</f>
        <v>0</v>
      </c>
      <c r="J97" s="20">
        <f>(LEN(Table_NamedRanges[[#This Row],[Reference Text]])-LEN(SUBSTITUTE(Table_NamedRanges[[#This Row],[Reference Text]],",","")))/LEN(",")</f>
        <v>0</v>
      </c>
      <c r="K97" s="20" t="str">
        <f>IF(Table_NamedRanges[[#This Row],[Starts with '']]=FALSE,"Other",IF(AND(Table_NamedRanges[[#This Row],[Count of Colon ":"]]=0,Table_NamedRanges[[#This Row],[Count of ","]]=0),"Single Cell",IF(Table_NamedRanges[[#This Row],[Count of Colon ":"]]=1,"Single Range", "Multiple (Cell or Range)")))</f>
        <v>Single Cell</v>
      </c>
    </row>
    <row r="98" spans="2:11" x14ac:dyDescent="0.25">
      <c r="B98" s="6" t="s">
        <v>386</v>
      </c>
      <c r="C98" s="8" t="s">
        <v>891</v>
      </c>
      <c r="D98" s="18">
        <f ca="1">IFERROR(INDIRECT(Table_NamedRanges[[#This Row],[Named Range Paste]]),"Undefined/Error")</f>
        <v>0</v>
      </c>
      <c r="E98" s="18" t="str">
        <f>Table_NamedRanges[[#This Row],[Reference Paste]]</f>
        <v>='Travel Expense Summary'!$P$18</v>
      </c>
      <c r="F98" s="18" t="b">
        <f ca="1">ISERROR(VLOOKUP(Table_NamedRanges[[#This Row],[Named Range Paste]],OFFSET(INDEX(Table_ErrorList[],1,1),0,MATCH(Table_ErrorList[[#Headers],[Attention To Named Range]],Table_ErrorList[#Headers],0)-1,ROWS(Table_ErrorList[]),1),1,FALSE))=FALSE</f>
        <v>1</v>
      </c>
      <c r="G98" s="20" t="b">
        <f>MID(Table_NamedRanges[[#This Row],[Reference Text]],2,1)="'"</f>
        <v>1</v>
      </c>
      <c r="H98" s="20">
        <f>(LEN(Table_NamedRanges[[#This Row],[Reference Text]])-LEN(SUBSTITUTE(Table_NamedRanges[[#This Row],[Reference Text]],":","")))/LEN(":")</f>
        <v>0</v>
      </c>
      <c r="I98" s="20" t="b">
        <f>OR(ISERROR(FIND("[",Table_NamedRanges[[#This Row],[Reference Text]],1))=FALSE,ISERROR(FIND("]",Table_NamedRanges[[#This Row],[Reference Text]],1))=FALSE)</f>
        <v>0</v>
      </c>
      <c r="J98" s="20">
        <f>(LEN(Table_NamedRanges[[#This Row],[Reference Text]])-LEN(SUBSTITUTE(Table_NamedRanges[[#This Row],[Reference Text]],",","")))/LEN(",")</f>
        <v>0</v>
      </c>
      <c r="K98" s="20" t="str">
        <f>IF(Table_NamedRanges[[#This Row],[Starts with '']]=FALSE,"Other",IF(AND(Table_NamedRanges[[#This Row],[Count of Colon ":"]]=0,Table_NamedRanges[[#This Row],[Count of ","]]=0),"Single Cell",IF(Table_NamedRanges[[#This Row],[Count of Colon ":"]]=1,"Single Range", "Multiple (Cell or Range)")))</f>
        <v>Single Cell</v>
      </c>
    </row>
    <row r="99" spans="2:11" x14ac:dyDescent="0.25">
      <c r="B99" s="6" t="s">
        <v>391</v>
      </c>
      <c r="C99" s="8" t="s">
        <v>892</v>
      </c>
      <c r="D99" s="18">
        <f ca="1">IFERROR(INDIRECT(Table_NamedRanges[[#This Row],[Named Range Paste]]),"Undefined/Error")</f>
        <v>0</v>
      </c>
      <c r="E99" s="18" t="str">
        <f>Table_NamedRanges[[#This Row],[Reference Paste]]</f>
        <v>='Travel Expense Summary'!$P$19</v>
      </c>
      <c r="F99" s="18" t="b">
        <f ca="1">ISERROR(VLOOKUP(Table_NamedRanges[[#This Row],[Named Range Paste]],OFFSET(INDEX(Table_ErrorList[],1,1),0,MATCH(Table_ErrorList[[#Headers],[Attention To Named Range]],Table_ErrorList[#Headers],0)-1,ROWS(Table_ErrorList[]),1),1,FALSE))=FALSE</f>
        <v>1</v>
      </c>
      <c r="G99" s="20" t="b">
        <f>MID(Table_NamedRanges[[#This Row],[Reference Text]],2,1)="'"</f>
        <v>1</v>
      </c>
      <c r="H99" s="20">
        <f>(LEN(Table_NamedRanges[[#This Row],[Reference Text]])-LEN(SUBSTITUTE(Table_NamedRanges[[#This Row],[Reference Text]],":","")))/LEN(":")</f>
        <v>0</v>
      </c>
      <c r="I99" s="20" t="b">
        <f>OR(ISERROR(FIND("[",Table_NamedRanges[[#This Row],[Reference Text]],1))=FALSE,ISERROR(FIND("]",Table_NamedRanges[[#This Row],[Reference Text]],1))=FALSE)</f>
        <v>0</v>
      </c>
      <c r="J99" s="20">
        <f>(LEN(Table_NamedRanges[[#This Row],[Reference Text]])-LEN(SUBSTITUTE(Table_NamedRanges[[#This Row],[Reference Text]],",","")))/LEN(",")</f>
        <v>0</v>
      </c>
      <c r="K99" s="20" t="str">
        <f>IF(Table_NamedRanges[[#This Row],[Starts with '']]=FALSE,"Other",IF(AND(Table_NamedRanges[[#This Row],[Count of Colon ":"]]=0,Table_NamedRanges[[#This Row],[Count of ","]]=0),"Single Cell",IF(Table_NamedRanges[[#This Row],[Count of Colon ":"]]=1,"Single Range", "Multiple (Cell or Range)")))</f>
        <v>Single Cell</v>
      </c>
    </row>
    <row r="100" spans="2:11" x14ac:dyDescent="0.25">
      <c r="B100" s="6" t="s">
        <v>396</v>
      </c>
      <c r="C100" s="8" t="s">
        <v>893</v>
      </c>
      <c r="D100" s="18">
        <f ca="1">IFERROR(INDIRECT(Table_NamedRanges[[#This Row],[Named Range Paste]]),"Undefined/Error")</f>
        <v>0</v>
      </c>
      <c r="E100" s="18" t="str">
        <f>Table_NamedRanges[[#This Row],[Reference Paste]]</f>
        <v>='Travel Expense Summary'!$P$20</v>
      </c>
      <c r="F100" s="18" t="b">
        <f ca="1">ISERROR(VLOOKUP(Table_NamedRanges[[#This Row],[Named Range Paste]],OFFSET(INDEX(Table_ErrorList[],1,1),0,MATCH(Table_ErrorList[[#Headers],[Attention To Named Range]],Table_ErrorList[#Headers],0)-1,ROWS(Table_ErrorList[]),1),1,FALSE))=FALSE</f>
        <v>1</v>
      </c>
      <c r="G100" s="20" t="b">
        <f>MID(Table_NamedRanges[[#This Row],[Reference Text]],2,1)="'"</f>
        <v>1</v>
      </c>
      <c r="H100" s="20">
        <f>(LEN(Table_NamedRanges[[#This Row],[Reference Text]])-LEN(SUBSTITUTE(Table_NamedRanges[[#This Row],[Reference Text]],":","")))/LEN(":")</f>
        <v>0</v>
      </c>
      <c r="I100" s="20" t="b">
        <f>OR(ISERROR(FIND("[",Table_NamedRanges[[#This Row],[Reference Text]],1))=FALSE,ISERROR(FIND("]",Table_NamedRanges[[#This Row],[Reference Text]],1))=FALSE)</f>
        <v>0</v>
      </c>
      <c r="J100" s="20">
        <f>(LEN(Table_NamedRanges[[#This Row],[Reference Text]])-LEN(SUBSTITUTE(Table_NamedRanges[[#This Row],[Reference Text]],",","")))/LEN(",")</f>
        <v>0</v>
      </c>
      <c r="K100" s="20" t="str">
        <f>IF(Table_NamedRanges[[#This Row],[Starts with '']]=FALSE,"Other",IF(AND(Table_NamedRanges[[#This Row],[Count of Colon ":"]]=0,Table_NamedRanges[[#This Row],[Count of ","]]=0),"Single Cell",IF(Table_NamedRanges[[#This Row],[Count of Colon ":"]]=1,"Single Range", "Multiple (Cell or Range)")))</f>
        <v>Single Cell</v>
      </c>
    </row>
    <row r="101" spans="2:11" x14ac:dyDescent="0.25">
      <c r="B101" s="6" t="s">
        <v>401</v>
      </c>
      <c r="C101" s="8" t="s">
        <v>894</v>
      </c>
      <c r="D101" s="18">
        <f ca="1">IFERROR(INDIRECT(Table_NamedRanges[[#This Row],[Named Range Paste]]),"Undefined/Error")</f>
        <v>0</v>
      </c>
      <c r="E101" s="18" t="str">
        <f>Table_NamedRanges[[#This Row],[Reference Paste]]</f>
        <v>='Travel Expense Summary'!$P$21</v>
      </c>
      <c r="F101" s="18" t="b">
        <f ca="1">ISERROR(VLOOKUP(Table_NamedRanges[[#This Row],[Named Range Paste]],OFFSET(INDEX(Table_ErrorList[],1,1),0,MATCH(Table_ErrorList[[#Headers],[Attention To Named Range]],Table_ErrorList[#Headers],0)-1,ROWS(Table_ErrorList[]),1),1,FALSE))=FALSE</f>
        <v>1</v>
      </c>
      <c r="G101" s="20" t="b">
        <f>MID(Table_NamedRanges[[#This Row],[Reference Text]],2,1)="'"</f>
        <v>1</v>
      </c>
      <c r="H101" s="20">
        <f>(LEN(Table_NamedRanges[[#This Row],[Reference Text]])-LEN(SUBSTITUTE(Table_NamedRanges[[#This Row],[Reference Text]],":","")))/LEN(":")</f>
        <v>0</v>
      </c>
      <c r="I101" s="20" t="b">
        <f>OR(ISERROR(FIND("[",Table_NamedRanges[[#This Row],[Reference Text]],1))=FALSE,ISERROR(FIND("]",Table_NamedRanges[[#This Row],[Reference Text]],1))=FALSE)</f>
        <v>0</v>
      </c>
      <c r="J101" s="20">
        <f>(LEN(Table_NamedRanges[[#This Row],[Reference Text]])-LEN(SUBSTITUTE(Table_NamedRanges[[#This Row],[Reference Text]],",","")))/LEN(",")</f>
        <v>0</v>
      </c>
      <c r="K101" s="20" t="str">
        <f>IF(Table_NamedRanges[[#This Row],[Starts with '']]=FALSE,"Other",IF(AND(Table_NamedRanges[[#This Row],[Count of Colon ":"]]=0,Table_NamedRanges[[#This Row],[Count of ","]]=0),"Single Cell",IF(Table_NamedRanges[[#This Row],[Count of Colon ":"]]=1,"Single Range", "Multiple (Cell or Range)")))</f>
        <v>Single Cell</v>
      </c>
    </row>
    <row r="102" spans="2:11" x14ac:dyDescent="0.25">
      <c r="B102" s="6" t="s">
        <v>406</v>
      </c>
      <c r="C102" s="8" t="s">
        <v>895</v>
      </c>
      <c r="D102" s="18">
        <f ca="1">IFERROR(INDIRECT(Table_NamedRanges[[#This Row],[Named Range Paste]]),"Undefined/Error")</f>
        <v>0</v>
      </c>
      <c r="E102" s="18" t="str">
        <f>Table_NamedRanges[[#This Row],[Reference Paste]]</f>
        <v>='Travel Expense Summary'!$P$22</v>
      </c>
      <c r="F102" s="18" t="b">
        <f ca="1">ISERROR(VLOOKUP(Table_NamedRanges[[#This Row],[Named Range Paste]],OFFSET(INDEX(Table_ErrorList[],1,1),0,MATCH(Table_ErrorList[[#Headers],[Attention To Named Range]],Table_ErrorList[#Headers],0)-1,ROWS(Table_ErrorList[]),1),1,FALSE))=FALSE</f>
        <v>1</v>
      </c>
      <c r="G102" s="20" t="b">
        <f>MID(Table_NamedRanges[[#This Row],[Reference Text]],2,1)="'"</f>
        <v>1</v>
      </c>
      <c r="H102" s="20">
        <f>(LEN(Table_NamedRanges[[#This Row],[Reference Text]])-LEN(SUBSTITUTE(Table_NamedRanges[[#This Row],[Reference Text]],":","")))/LEN(":")</f>
        <v>0</v>
      </c>
      <c r="I102" s="20" t="b">
        <f>OR(ISERROR(FIND("[",Table_NamedRanges[[#This Row],[Reference Text]],1))=FALSE,ISERROR(FIND("]",Table_NamedRanges[[#This Row],[Reference Text]],1))=FALSE)</f>
        <v>0</v>
      </c>
      <c r="J102" s="20">
        <f>(LEN(Table_NamedRanges[[#This Row],[Reference Text]])-LEN(SUBSTITUTE(Table_NamedRanges[[#This Row],[Reference Text]],",","")))/LEN(",")</f>
        <v>0</v>
      </c>
      <c r="K102" s="20" t="str">
        <f>IF(Table_NamedRanges[[#This Row],[Starts with '']]=FALSE,"Other",IF(AND(Table_NamedRanges[[#This Row],[Count of Colon ":"]]=0,Table_NamedRanges[[#This Row],[Count of ","]]=0),"Single Cell",IF(Table_NamedRanges[[#This Row],[Count of Colon ":"]]=1,"Single Range", "Multiple (Cell or Range)")))</f>
        <v>Single Cell</v>
      </c>
    </row>
    <row r="103" spans="2:11" x14ac:dyDescent="0.25">
      <c r="B103" s="6" t="s">
        <v>347</v>
      </c>
      <c r="C103" s="8" t="s">
        <v>896</v>
      </c>
      <c r="D103" s="18" t="str">
        <f ca="1">IFERROR(INDIRECT(Table_NamedRanges[[#This Row],[Named Range Paste]]),"Undefined/Error")</f>
        <v/>
      </c>
      <c r="E103" s="18" t="str">
        <f>Table_NamedRanges[[#This Row],[Reference Paste]]</f>
        <v>='Particulars Validation'!$AY$4</v>
      </c>
      <c r="F103" s="18" t="b">
        <f ca="1">ISERROR(VLOOKUP(Table_NamedRanges[[#This Row],[Named Range Paste]],OFFSET(INDEX(Table_ErrorList[],1,1),0,MATCH(Table_ErrorList[[#Headers],[Attention To Named Range]],Table_ErrorList[#Headers],0)-1,ROWS(Table_ErrorList[]),1),1,FALSE))=FALSE</f>
        <v>1</v>
      </c>
      <c r="G103" s="20" t="b">
        <f>MID(Table_NamedRanges[[#This Row],[Reference Text]],2,1)="'"</f>
        <v>1</v>
      </c>
      <c r="H103" s="20">
        <f>(LEN(Table_NamedRanges[[#This Row],[Reference Text]])-LEN(SUBSTITUTE(Table_NamedRanges[[#This Row],[Reference Text]],":","")))/LEN(":")</f>
        <v>0</v>
      </c>
      <c r="I103" s="20" t="b">
        <f>OR(ISERROR(FIND("[",Table_NamedRanges[[#This Row],[Reference Text]],1))=FALSE,ISERROR(FIND("]",Table_NamedRanges[[#This Row],[Reference Text]],1))=FALSE)</f>
        <v>0</v>
      </c>
      <c r="J103" s="20">
        <f>(LEN(Table_NamedRanges[[#This Row],[Reference Text]])-LEN(SUBSTITUTE(Table_NamedRanges[[#This Row],[Reference Text]],",","")))/LEN(",")</f>
        <v>0</v>
      </c>
      <c r="K103" s="20" t="str">
        <f>IF(Table_NamedRanges[[#This Row],[Starts with '']]=FALSE,"Other",IF(AND(Table_NamedRanges[[#This Row],[Count of Colon ":"]]=0,Table_NamedRanges[[#This Row],[Count of ","]]=0),"Single Cell",IF(Table_NamedRanges[[#This Row],[Count of Colon ":"]]=1,"Single Range", "Multiple (Cell or Range)")))</f>
        <v>Single Cell</v>
      </c>
    </row>
    <row r="104" spans="2:11" ht="30" x14ac:dyDescent="0.25">
      <c r="B104" s="6" t="s">
        <v>360</v>
      </c>
      <c r="C104" s="8" t="s">
        <v>897</v>
      </c>
      <c r="D104" s="18" t="str">
        <f ca="1">IFERROR(INDIRECT(Table_NamedRanges[[#This Row],[Named Range Paste]]),"Undefined/Error")</f>
        <v>Undefined/Error</v>
      </c>
      <c r="E104" s="18" t="str">
        <f>Table_NamedRanges[[#This Row],[Reference Paste]]</f>
        <v>='Travel Expense Summary'!$R$13,'Travel Expense Summary'!$S$13,'Travel Expense Summary'!$T$13</v>
      </c>
      <c r="F104" s="18" t="b">
        <f ca="1">ISERROR(VLOOKUP(Table_NamedRanges[[#This Row],[Named Range Paste]],OFFSET(INDEX(Table_ErrorList[],1,1),0,MATCH(Table_ErrorList[[#Headers],[Attention To Named Range]],Table_ErrorList[#Headers],0)-1,ROWS(Table_ErrorList[]),1),1,FALSE))=FALSE</f>
        <v>1</v>
      </c>
      <c r="G104" s="20" t="b">
        <f>MID(Table_NamedRanges[[#This Row],[Reference Text]],2,1)="'"</f>
        <v>1</v>
      </c>
      <c r="H104" s="20">
        <f>(LEN(Table_NamedRanges[[#This Row],[Reference Text]])-LEN(SUBSTITUTE(Table_NamedRanges[[#This Row],[Reference Text]],":","")))/LEN(":")</f>
        <v>0</v>
      </c>
      <c r="I104" s="20" t="b">
        <f>OR(ISERROR(FIND("[",Table_NamedRanges[[#This Row],[Reference Text]],1))=FALSE,ISERROR(FIND("]",Table_NamedRanges[[#This Row],[Reference Text]],1))=FALSE)</f>
        <v>0</v>
      </c>
      <c r="J104" s="20">
        <f>(LEN(Table_NamedRanges[[#This Row],[Reference Text]])-LEN(SUBSTITUTE(Table_NamedRanges[[#This Row],[Reference Text]],",","")))/LEN(",")</f>
        <v>2</v>
      </c>
      <c r="K104" s="20" t="str">
        <f>IF(Table_NamedRanges[[#This Row],[Starts with '']]=FALSE,"Other",IF(AND(Table_NamedRanges[[#This Row],[Count of Colon ":"]]=0,Table_NamedRanges[[#This Row],[Count of ","]]=0),"Single Cell",IF(Table_NamedRanges[[#This Row],[Count of Colon ":"]]=1,"Single Range", "Multiple (Cell or Range)")))</f>
        <v>Multiple (Cell or Range)</v>
      </c>
    </row>
    <row r="105" spans="2:11" ht="30" x14ac:dyDescent="0.25">
      <c r="B105" s="6" t="s">
        <v>369</v>
      </c>
      <c r="C105" s="8" t="s">
        <v>898</v>
      </c>
      <c r="D105" s="18" t="str">
        <f ca="1">IFERROR(INDIRECT(Table_NamedRanges[[#This Row],[Named Range Paste]]),"Undefined/Error")</f>
        <v>Undefined/Error</v>
      </c>
      <c r="E105" s="18" t="str">
        <f>Table_NamedRanges[[#This Row],[Reference Paste]]</f>
        <v>='Travel Expense Summary'!$R$14,'Travel Expense Summary'!$S$14,'Travel Expense Summary'!$T$14</v>
      </c>
      <c r="F105" s="18" t="b">
        <f ca="1">ISERROR(VLOOKUP(Table_NamedRanges[[#This Row],[Named Range Paste]],OFFSET(INDEX(Table_ErrorList[],1,1),0,MATCH(Table_ErrorList[[#Headers],[Attention To Named Range]],Table_ErrorList[#Headers],0)-1,ROWS(Table_ErrorList[]),1),1,FALSE))=FALSE</f>
        <v>1</v>
      </c>
      <c r="G105" s="20" t="b">
        <f>MID(Table_NamedRanges[[#This Row],[Reference Text]],2,1)="'"</f>
        <v>1</v>
      </c>
      <c r="H105" s="20">
        <f>(LEN(Table_NamedRanges[[#This Row],[Reference Text]])-LEN(SUBSTITUTE(Table_NamedRanges[[#This Row],[Reference Text]],":","")))/LEN(":")</f>
        <v>0</v>
      </c>
      <c r="I105" s="20" t="b">
        <f>OR(ISERROR(FIND("[",Table_NamedRanges[[#This Row],[Reference Text]],1))=FALSE,ISERROR(FIND("]",Table_NamedRanges[[#This Row],[Reference Text]],1))=FALSE)</f>
        <v>0</v>
      </c>
      <c r="J105" s="20">
        <f>(LEN(Table_NamedRanges[[#This Row],[Reference Text]])-LEN(SUBSTITUTE(Table_NamedRanges[[#This Row],[Reference Text]],",","")))/LEN(",")</f>
        <v>2</v>
      </c>
      <c r="K105" s="20" t="str">
        <f>IF(Table_NamedRanges[[#This Row],[Starts with '']]=FALSE,"Other",IF(AND(Table_NamedRanges[[#This Row],[Count of Colon ":"]]=0,Table_NamedRanges[[#This Row],[Count of ","]]=0),"Single Cell",IF(Table_NamedRanges[[#This Row],[Count of Colon ":"]]=1,"Single Range", "Multiple (Cell or Range)")))</f>
        <v>Multiple (Cell or Range)</v>
      </c>
    </row>
    <row r="106" spans="2:11" ht="30" x14ac:dyDescent="0.25">
      <c r="B106" s="6" t="s">
        <v>374</v>
      </c>
      <c r="C106" s="8" t="s">
        <v>899</v>
      </c>
      <c r="D106" s="18" t="str">
        <f ca="1">IFERROR(INDIRECT(Table_NamedRanges[[#This Row],[Named Range Paste]]),"Undefined/Error")</f>
        <v>Undefined/Error</v>
      </c>
      <c r="E106" s="18" t="str">
        <f>Table_NamedRanges[[#This Row],[Reference Paste]]</f>
        <v>='Travel Expense Summary'!$R$15,'Travel Expense Summary'!$S$15,'Travel Expense Summary'!$T$15</v>
      </c>
      <c r="F106" s="18" t="b">
        <f ca="1">ISERROR(VLOOKUP(Table_NamedRanges[[#This Row],[Named Range Paste]],OFFSET(INDEX(Table_ErrorList[],1,1),0,MATCH(Table_ErrorList[[#Headers],[Attention To Named Range]],Table_ErrorList[#Headers],0)-1,ROWS(Table_ErrorList[]),1),1,FALSE))=FALSE</f>
        <v>1</v>
      </c>
      <c r="G106" s="20" t="b">
        <f>MID(Table_NamedRanges[[#This Row],[Reference Text]],2,1)="'"</f>
        <v>1</v>
      </c>
      <c r="H106" s="20">
        <f>(LEN(Table_NamedRanges[[#This Row],[Reference Text]])-LEN(SUBSTITUTE(Table_NamedRanges[[#This Row],[Reference Text]],":","")))/LEN(":")</f>
        <v>0</v>
      </c>
      <c r="I106" s="20" t="b">
        <f>OR(ISERROR(FIND("[",Table_NamedRanges[[#This Row],[Reference Text]],1))=FALSE,ISERROR(FIND("]",Table_NamedRanges[[#This Row],[Reference Text]],1))=FALSE)</f>
        <v>0</v>
      </c>
      <c r="J106" s="20">
        <f>(LEN(Table_NamedRanges[[#This Row],[Reference Text]])-LEN(SUBSTITUTE(Table_NamedRanges[[#This Row],[Reference Text]],",","")))/LEN(",")</f>
        <v>2</v>
      </c>
      <c r="K106" s="20" t="str">
        <f>IF(Table_NamedRanges[[#This Row],[Starts with '']]=FALSE,"Other",IF(AND(Table_NamedRanges[[#This Row],[Count of Colon ":"]]=0,Table_NamedRanges[[#This Row],[Count of ","]]=0),"Single Cell",IF(Table_NamedRanges[[#This Row],[Count of Colon ":"]]=1,"Single Range", "Multiple (Cell or Range)")))</f>
        <v>Multiple (Cell or Range)</v>
      </c>
    </row>
    <row r="107" spans="2:11" ht="30" x14ac:dyDescent="0.25">
      <c r="B107" s="6" t="s">
        <v>379</v>
      </c>
      <c r="C107" s="8" t="s">
        <v>900</v>
      </c>
      <c r="D107" s="18" t="str">
        <f ca="1">IFERROR(INDIRECT(Table_NamedRanges[[#This Row],[Named Range Paste]]),"Undefined/Error")</f>
        <v>Undefined/Error</v>
      </c>
      <c r="E107" s="18" t="str">
        <f>Table_NamedRanges[[#This Row],[Reference Paste]]</f>
        <v>='Travel Expense Summary'!$R$16,'Travel Expense Summary'!$S$16,'Travel Expense Summary'!$T$16</v>
      </c>
      <c r="F107" s="18" t="b">
        <f ca="1">ISERROR(VLOOKUP(Table_NamedRanges[[#This Row],[Named Range Paste]],OFFSET(INDEX(Table_ErrorList[],1,1),0,MATCH(Table_ErrorList[[#Headers],[Attention To Named Range]],Table_ErrorList[#Headers],0)-1,ROWS(Table_ErrorList[]),1),1,FALSE))=FALSE</f>
        <v>1</v>
      </c>
      <c r="G107" s="20" t="b">
        <f>MID(Table_NamedRanges[[#This Row],[Reference Text]],2,1)="'"</f>
        <v>1</v>
      </c>
      <c r="H107" s="20">
        <f>(LEN(Table_NamedRanges[[#This Row],[Reference Text]])-LEN(SUBSTITUTE(Table_NamedRanges[[#This Row],[Reference Text]],":","")))/LEN(":")</f>
        <v>0</v>
      </c>
      <c r="I107" s="20" t="b">
        <f>OR(ISERROR(FIND("[",Table_NamedRanges[[#This Row],[Reference Text]],1))=FALSE,ISERROR(FIND("]",Table_NamedRanges[[#This Row],[Reference Text]],1))=FALSE)</f>
        <v>0</v>
      </c>
      <c r="J107" s="20">
        <f>(LEN(Table_NamedRanges[[#This Row],[Reference Text]])-LEN(SUBSTITUTE(Table_NamedRanges[[#This Row],[Reference Text]],",","")))/LEN(",")</f>
        <v>2</v>
      </c>
      <c r="K107" s="20" t="str">
        <f>IF(Table_NamedRanges[[#This Row],[Starts with '']]=FALSE,"Other",IF(AND(Table_NamedRanges[[#This Row],[Count of Colon ":"]]=0,Table_NamedRanges[[#This Row],[Count of ","]]=0),"Single Cell",IF(Table_NamedRanges[[#This Row],[Count of Colon ":"]]=1,"Single Range", "Multiple (Cell or Range)")))</f>
        <v>Multiple (Cell or Range)</v>
      </c>
    </row>
    <row r="108" spans="2:11" ht="30" x14ac:dyDescent="0.25">
      <c r="B108" s="6" t="s">
        <v>384</v>
      </c>
      <c r="C108" s="8" t="s">
        <v>901</v>
      </c>
      <c r="D108" s="18" t="str">
        <f ca="1">IFERROR(INDIRECT(Table_NamedRanges[[#This Row],[Named Range Paste]]),"Undefined/Error")</f>
        <v>Undefined/Error</v>
      </c>
      <c r="E108" s="18" t="str">
        <f>Table_NamedRanges[[#This Row],[Reference Paste]]</f>
        <v>='Travel Expense Summary'!$R$17,'Travel Expense Summary'!$S$17,'Travel Expense Summary'!$T$17</v>
      </c>
      <c r="F108" s="18" t="b">
        <f ca="1">ISERROR(VLOOKUP(Table_NamedRanges[[#This Row],[Named Range Paste]],OFFSET(INDEX(Table_ErrorList[],1,1),0,MATCH(Table_ErrorList[[#Headers],[Attention To Named Range]],Table_ErrorList[#Headers],0)-1,ROWS(Table_ErrorList[]),1),1,FALSE))=FALSE</f>
        <v>1</v>
      </c>
      <c r="G108" s="20" t="b">
        <f>MID(Table_NamedRanges[[#This Row],[Reference Text]],2,1)="'"</f>
        <v>1</v>
      </c>
      <c r="H108" s="20">
        <f>(LEN(Table_NamedRanges[[#This Row],[Reference Text]])-LEN(SUBSTITUTE(Table_NamedRanges[[#This Row],[Reference Text]],":","")))/LEN(":")</f>
        <v>0</v>
      </c>
      <c r="I108" s="20" t="b">
        <f>OR(ISERROR(FIND("[",Table_NamedRanges[[#This Row],[Reference Text]],1))=FALSE,ISERROR(FIND("]",Table_NamedRanges[[#This Row],[Reference Text]],1))=FALSE)</f>
        <v>0</v>
      </c>
      <c r="J108" s="20">
        <f>(LEN(Table_NamedRanges[[#This Row],[Reference Text]])-LEN(SUBSTITUTE(Table_NamedRanges[[#This Row],[Reference Text]],",","")))/LEN(",")</f>
        <v>2</v>
      </c>
      <c r="K108" s="20" t="str">
        <f>IF(Table_NamedRanges[[#This Row],[Starts with '']]=FALSE,"Other",IF(AND(Table_NamedRanges[[#This Row],[Count of Colon ":"]]=0,Table_NamedRanges[[#This Row],[Count of ","]]=0),"Single Cell",IF(Table_NamedRanges[[#This Row],[Count of Colon ":"]]=1,"Single Range", "Multiple (Cell or Range)")))</f>
        <v>Multiple (Cell or Range)</v>
      </c>
    </row>
    <row r="109" spans="2:11" ht="30" x14ac:dyDescent="0.25">
      <c r="B109" s="6" t="s">
        <v>389</v>
      </c>
      <c r="C109" s="8" t="s">
        <v>902</v>
      </c>
      <c r="D109" s="18" t="str">
        <f ca="1">IFERROR(INDIRECT(Table_NamedRanges[[#This Row],[Named Range Paste]]),"Undefined/Error")</f>
        <v>Undefined/Error</v>
      </c>
      <c r="E109" s="18" t="str">
        <f>Table_NamedRanges[[#This Row],[Reference Paste]]</f>
        <v>='Travel Expense Summary'!$R$18,'Travel Expense Summary'!$S$18,'Travel Expense Summary'!$T$18</v>
      </c>
      <c r="F109" s="18" t="b">
        <f ca="1">ISERROR(VLOOKUP(Table_NamedRanges[[#This Row],[Named Range Paste]],OFFSET(INDEX(Table_ErrorList[],1,1),0,MATCH(Table_ErrorList[[#Headers],[Attention To Named Range]],Table_ErrorList[#Headers],0)-1,ROWS(Table_ErrorList[]),1),1,FALSE))=FALSE</f>
        <v>1</v>
      </c>
      <c r="G109" s="20" t="b">
        <f>MID(Table_NamedRanges[[#This Row],[Reference Text]],2,1)="'"</f>
        <v>1</v>
      </c>
      <c r="H109" s="20">
        <f>(LEN(Table_NamedRanges[[#This Row],[Reference Text]])-LEN(SUBSTITUTE(Table_NamedRanges[[#This Row],[Reference Text]],":","")))/LEN(":")</f>
        <v>0</v>
      </c>
      <c r="I109" s="20" t="b">
        <f>OR(ISERROR(FIND("[",Table_NamedRanges[[#This Row],[Reference Text]],1))=FALSE,ISERROR(FIND("]",Table_NamedRanges[[#This Row],[Reference Text]],1))=FALSE)</f>
        <v>0</v>
      </c>
      <c r="J109" s="20">
        <f>(LEN(Table_NamedRanges[[#This Row],[Reference Text]])-LEN(SUBSTITUTE(Table_NamedRanges[[#This Row],[Reference Text]],",","")))/LEN(",")</f>
        <v>2</v>
      </c>
      <c r="K109" s="20" t="str">
        <f>IF(Table_NamedRanges[[#This Row],[Starts with '']]=FALSE,"Other",IF(AND(Table_NamedRanges[[#This Row],[Count of Colon ":"]]=0,Table_NamedRanges[[#This Row],[Count of ","]]=0),"Single Cell",IF(Table_NamedRanges[[#This Row],[Count of Colon ":"]]=1,"Single Range", "Multiple (Cell or Range)")))</f>
        <v>Multiple (Cell or Range)</v>
      </c>
    </row>
    <row r="110" spans="2:11" ht="30" x14ac:dyDescent="0.25">
      <c r="B110" s="6" t="s">
        <v>394</v>
      </c>
      <c r="C110" s="8" t="s">
        <v>903</v>
      </c>
      <c r="D110" s="18" t="str">
        <f ca="1">IFERROR(INDIRECT(Table_NamedRanges[[#This Row],[Named Range Paste]]),"Undefined/Error")</f>
        <v>Undefined/Error</v>
      </c>
      <c r="E110" s="18" t="str">
        <f>Table_NamedRanges[[#This Row],[Reference Paste]]</f>
        <v>='Travel Expense Summary'!$R$19,'Travel Expense Summary'!$S$19,'Travel Expense Summary'!$T$19</v>
      </c>
      <c r="F110" s="18" t="b">
        <f ca="1">ISERROR(VLOOKUP(Table_NamedRanges[[#This Row],[Named Range Paste]],OFFSET(INDEX(Table_ErrorList[],1,1),0,MATCH(Table_ErrorList[[#Headers],[Attention To Named Range]],Table_ErrorList[#Headers],0)-1,ROWS(Table_ErrorList[]),1),1,FALSE))=FALSE</f>
        <v>1</v>
      </c>
      <c r="G110" s="20" t="b">
        <f>MID(Table_NamedRanges[[#This Row],[Reference Text]],2,1)="'"</f>
        <v>1</v>
      </c>
      <c r="H110" s="20">
        <f>(LEN(Table_NamedRanges[[#This Row],[Reference Text]])-LEN(SUBSTITUTE(Table_NamedRanges[[#This Row],[Reference Text]],":","")))/LEN(":")</f>
        <v>0</v>
      </c>
      <c r="I110" s="20" t="b">
        <f>OR(ISERROR(FIND("[",Table_NamedRanges[[#This Row],[Reference Text]],1))=FALSE,ISERROR(FIND("]",Table_NamedRanges[[#This Row],[Reference Text]],1))=FALSE)</f>
        <v>0</v>
      </c>
      <c r="J110" s="20">
        <f>(LEN(Table_NamedRanges[[#This Row],[Reference Text]])-LEN(SUBSTITUTE(Table_NamedRanges[[#This Row],[Reference Text]],",","")))/LEN(",")</f>
        <v>2</v>
      </c>
      <c r="K110" s="20" t="str">
        <f>IF(Table_NamedRanges[[#This Row],[Starts with '']]=FALSE,"Other",IF(AND(Table_NamedRanges[[#This Row],[Count of Colon ":"]]=0,Table_NamedRanges[[#This Row],[Count of ","]]=0),"Single Cell",IF(Table_NamedRanges[[#This Row],[Count of Colon ":"]]=1,"Single Range", "Multiple (Cell or Range)")))</f>
        <v>Multiple (Cell or Range)</v>
      </c>
    </row>
    <row r="111" spans="2:11" ht="30" x14ac:dyDescent="0.25">
      <c r="B111" s="6" t="s">
        <v>399</v>
      </c>
      <c r="C111" s="8" t="s">
        <v>904</v>
      </c>
      <c r="D111" s="18" t="str">
        <f ca="1">IFERROR(INDIRECT(Table_NamedRanges[[#This Row],[Named Range Paste]]),"Undefined/Error")</f>
        <v>Undefined/Error</v>
      </c>
      <c r="E111" s="18" t="str">
        <f>Table_NamedRanges[[#This Row],[Reference Paste]]</f>
        <v>='Travel Expense Summary'!$R$20,'Travel Expense Summary'!$S$20,'Travel Expense Summary'!$T$20</v>
      </c>
      <c r="F111" s="18" t="b">
        <f ca="1">ISERROR(VLOOKUP(Table_NamedRanges[[#This Row],[Named Range Paste]],OFFSET(INDEX(Table_ErrorList[],1,1),0,MATCH(Table_ErrorList[[#Headers],[Attention To Named Range]],Table_ErrorList[#Headers],0)-1,ROWS(Table_ErrorList[]),1),1,FALSE))=FALSE</f>
        <v>1</v>
      </c>
      <c r="G111" s="20" t="b">
        <f>MID(Table_NamedRanges[[#This Row],[Reference Text]],2,1)="'"</f>
        <v>1</v>
      </c>
      <c r="H111" s="20">
        <f>(LEN(Table_NamedRanges[[#This Row],[Reference Text]])-LEN(SUBSTITUTE(Table_NamedRanges[[#This Row],[Reference Text]],":","")))/LEN(":")</f>
        <v>0</v>
      </c>
      <c r="I111" s="20" t="b">
        <f>OR(ISERROR(FIND("[",Table_NamedRanges[[#This Row],[Reference Text]],1))=FALSE,ISERROR(FIND("]",Table_NamedRanges[[#This Row],[Reference Text]],1))=FALSE)</f>
        <v>0</v>
      </c>
      <c r="J111" s="20">
        <f>(LEN(Table_NamedRanges[[#This Row],[Reference Text]])-LEN(SUBSTITUTE(Table_NamedRanges[[#This Row],[Reference Text]],",","")))/LEN(",")</f>
        <v>2</v>
      </c>
      <c r="K111" s="20" t="str">
        <f>IF(Table_NamedRanges[[#This Row],[Starts with '']]=FALSE,"Other",IF(AND(Table_NamedRanges[[#This Row],[Count of Colon ":"]]=0,Table_NamedRanges[[#This Row],[Count of ","]]=0),"Single Cell",IF(Table_NamedRanges[[#This Row],[Count of Colon ":"]]=1,"Single Range", "Multiple (Cell or Range)")))</f>
        <v>Multiple (Cell or Range)</v>
      </c>
    </row>
    <row r="112" spans="2:11" ht="30" x14ac:dyDescent="0.25">
      <c r="B112" s="6" t="s">
        <v>404</v>
      </c>
      <c r="C112" s="8" t="s">
        <v>905</v>
      </c>
      <c r="D112" s="18" t="str">
        <f ca="1">IFERROR(INDIRECT(Table_NamedRanges[[#This Row],[Named Range Paste]]),"Undefined/Error")</f>
        <v>Undefined/Error</v>
      </c>
      <c r="E112" s="18" t="str">
        <f>Table_NamedRanges[[#This Row],[Reference Paste]]</f>
        <v>='Travel Expense Summary'!$R$21,'Travel Expense Summary'!$S$21,'Travel Expense Summary'!$T$21</v>
      </c>
      <c r="F112" s="18" t="b">
        <f ca="1">ISERROR(VLOOKUP(Table_NamedRanges[[#This Row],[Named Range Paste]],OFFSET(INDEX(Table_ErrorList[],1,1),0,MATCH(Table_ErrorList[[#Headers],[Attention To Named Range]],Table_ErrorList[#Headers],0)-1,ROWS(Table_ErrorList[]),1),1,FALSE))=FALSE</f>
        <v>1</v>
      </c>
      <c r="G112" s="20" t="b">
        <f>MID(Table_NamedRanges[[#This Row],[Reference Text]],2,1)="'"</f>
        <v>1</v>
      </c>
      <c r="H112" s="20">
        <f>(LEN(Table_NamedRanges[[#This Row],[Reference Text]])-LEN(SUBSTITUTE(Table_NamedRanges[[#This Row],[Reference Text]],":","")))/LEN(":")</f>
        <v>0</v>
      </c>
      <c r="I112" s="20" t="b">
        <f>OR(ISERROR(FIND("[",Table_NamedRanges[[#This Row],[Reference Text]],1))=FALSE,ISERROR(FIND("]",Table_NamedRanges[[#This Row],[Reference Text]],1))=FALSE)</f>
        <v>0</v>
      </c>
      <c r="J112" s="20">
        <f>(LEN(Table_NamedRanges[[#This Row],[Reference Text]])-LEN(SUBSTITUTE(Table_NamedRanges[[#This Row],[Reference Text]],",","")))/LEN(",")</f>
        <v>2</v>
      </c>
      <c r="K112" s="20" t="str">
        <f>IF(Table_NamedRanges[[#This Row],[Starts with '']]=FALSE,"Other",IF(AND(Table_NamedRanges[[#This Row],[Count of Colon ":"]]=0,Table_NamedRanges[[#This Row],[Count of ","]]=0),"Single Cell",IF(Table_NamedRanges[[#This Row],[Count of Colon ":"]]=1,"Single Range", "Multiple (Cell or Range)")))</f>
        <v>Multiple (Cell or Range)</v>
      </c>
    </row>
    <row r="113" spans="2:11" ht="30" x14ac:dyDescent="0.25">
      <c r="B113" s="6" t="s">
        <v>409</v>
      </c>
      <c r="C113" s="8" t="s">
        <v>906</v>
      </c>
      <c r="D113" s="18" t="str">
        <f ca="1">IFERROR(INDIRECT(Table_NamedRanges[[#This Row],[Named Range Paste]]),"Undefined/Error")</f>
        <v>Undefined/Error</v>
      </c>
      <c r="E113" s="18" t="str">
        <f>Table_NamedRanges[[#This Row],[Reference Paste]]</f>
        <v>='Travel Expense Summary'!$R$22,'Travel Expense Summary'!$S$22,'Travel Expense Summary'!$T$22</v>
      </c>
      <c r="F113" s="18" t="b">
        <f ca="1">ISERROR(VLOOKUP(Table_NamedRanges[[#This Row],[Named Range Paste]],OFFSET(INDEX(Table_ErrorList[],1,1),0,MATCH(Table_ErrorList[[#Headers],[Attention To Named Range]],Table_ErrorList[#Headers],0)-1,ROWS(Table_ErrorList[]),1),1,FALSE))=FALSE</f>
        <v>1</v>
      </c>
      <c r="G113" s="20" t="b">
        <f>MID(Table_NamedRanges[[#This Row],[Reference Text]],2,1)="'"</f>
        <v>1</v>
      </c>
      <c r="H113" s="20">
        <f>(LEN(Table_NamedRanges[[#This Row],[Reference Text]])-LEN(SUBSTITUTE(Table_NamedRanges[[#This Row],[Reference Text]],":","")))/LEN(":")</f>
        <v>0</v>
      </c>
      <c r="I113" s="20" t="b">
        <f>OR(ISERROR(FIND("[",Table_NamedRanges[[#This Row],[Reference Text]],1))=FALSE,ISERROR(FIND("]",Table_NamedRanges[[#This Row],[Reference Text]],1))=FALSE)</f>
        <v>0</v>
      </c>
      <c r="J113" s="20">
        <f>(LEN(Table_NamedRanges[[#This Row],[Reference Text]])-LEN(SUBSTITUTE(Table_NamedRanges[[#This Row],[Reference Text]],",","")))/LEN(",")</f>
        <v>2</v>
      </c>
      <c r="K113" s="20" t="str">
        <f>IF(Table_NamedRanges[[#This Row],[Starts with '']]=FALSE,"Other",IF(AND(Table_NamedRanges[[#This Row],[Count of Colon ":"]]=0,Table_NamedRanges[[#This Row],[Count of ","]]=0),"Single Cell",IF(Table_NamedRanges[[#This Row],[Count of Colon ":"]]=1,"Single Range", "Multiple (Cell or Range)")))</f>
        <v>Multiple (Cell or Range)</v>
      </c>
    </row>
    <row r="114" spans="2:11" x14ac:dyDescent="0.25">
      <c r="B114" s="6" t="s">
        <v>907</v>
      </c>
      <c r="C114" s="8" t="s">
        <v>908</v>
      </c>
      <c r="D114" s="18" t="str">
        <f ca="1">IFERROR(INDIRECT(Table_NamedRanges[[#This Row],[Named Range Paste]]),"Undefined/Error")</f>
        <v>Undefined/Error</v>
      </c>
      <c r="E114" s="18" t="str">
        <f>Table_NamedRanges[[#This Row],[Reference Paste]]</f>
        <v>='Travel Expense Summary'!$I$27:$I$37</v>
      </c>
      <c r="F114" s="18" t="b">
        <f ca="1">ISERROR(VLOOKUP(Table_NamedRanges[[#This Row],[Named Range Paste]],OFFSET(INDEX(Table_ErrorList[],1,1),0,MATCH(Table_ErrorList[[#Headers],[Attention To Named Range]],Table_ErrorList[#Headers],0)-1,ROWS(Table_ErrorList[]),1),1,FALSE))=FALSE</f>
        <v>0</v>
      </c>
      <c r="G114" s="20" t="b">
        <f>MID(Table_NamedRanges[[#This Row],[Reference Text]],2,1)="'"</f>
        <v>1</v>
      </c>
      <c r="H114" s="20">
        <f>(LEN(Table_NamedRanges[[#This Row],[Reference Text]])-LEN(SUBSTITUTE(Table_NamedRanges[[#This Row],[Reference Text]],":","")))/LEN(":")</f>
        <v>1</v>
      </c>
      <c r="I114" s="20" t="b">
        <f>OR(ISERROR(FIND("[",Table_NamedRanges[[#This Row],[Reference Text]],1))=FALSE,ISERROR(FIND("]",Table_NamedRanges[[#This Row],[Reference Text]],1))=FALSE)</f>
        <v>0</v>
      </c>
      <c r="J114" s="20">
        <f>(LEN(Table_NamedRanges[[#This Row],[Reference Text]])-LEN(SUBSTITUTE(Table_NamedRanges[[#This Row],[Reference Text]],",","")))/LEN(",")</f>
        <v>0</v>
      </c>
      <c r="K114" s="20" t="str">
        <f>IF(Table_NamedRanges[[#This Row],[Starts with '']]=FALSE,"Other",IF(AND(Table_NamedRanges[[#This Row],[Count of Colon ":"]]=0,Table_NamedRanges[[#This Row],[Count of ","]]=0),"Single Cell",IF(Table_NamedRanges[[#This Row],[Count of Colon ":"]]=1,"Single Range", "Multiple (Cell or Range)")))</f>
        <v>Single Range</v>
      </c>
    </row>
    <row r="115" spans="2:11" x14ac:dyDescent="0.25">
      <c r="B115" s="6" t="s">
        <v>909</v>
      </c>
      <c r="C115" s="8" t="s">
        <v>910</v>
      </c>
      <c r="D115" s="18" t="str">
        <f ca="1">IFERROR(INDIRECT(Table_NamedRanges[[#This Row],[Named Range Paste]]),"Undefined/Error")</f>
        <v>Undefined/Error</v>
      </c>
      <c r="E115" s="18" t="str">
        <f>Table_NamedRanges[[#This Row],[Reference Paste]]</f>
        <v>='Travel Expense Summary'!$M$27:$M$37</v>
      </c>
      <c r="F115" s="18" t="b">
        <f ca="1">ISERROR(VLOOKUP(Table_NamedRanges[[#This Row],[Named Range Paste]],OFFSET(INDEX(Table_ErrorList[],1,1),0,MATCH(Table_ErrorList[[#Headers],[Attention To Named Range]],Table_ErrorList[#Headers],0)-1,ROWS(Table_ErrorList[]),1),1,FALSE))=FALSE</f>
        <v>0</v>
      </c>
      <c r="G115" s="20" t="b">
        <f>MID(Table_NamedRanges[[#This Row],[Reference Text]],2,1)="'"</f>
        <v>1</v>
      </c>
      <c r="H115" s="20">
        <f>(LEN(Table_NamedRanges[[#This Row],[Reference Text]])-LEN(SUBSTITUTE(Table_NamedRanges[[#This Row],[Reference Text]],":","")))/LEN(":")</f>
        <v>1</v>
      </c>
      <c r="I115" s="20" t="b">
        <f>OR(ISERROR(FIND("[",Table_NamedRanges[[#This Row],[Reference Text]],1))=FALSE,ISERROR(FIND("]",Table_NamedRanges[[#This Row],[Reference Text]],1))=FALSE)</f>
        <v>0</v>
      </c>
      <c r="J115" s="20">
        <f>(LEN(Table_NamedRanges[[#This Row],[Reference Text]])-LEN(SUBSTITUTE(Table_NamedRanges[[#This Row],[Reference Text]],",","")))/LEN(",")</f>
        <v>0</v>
      </c>
      <c r="K115" s="20" t="str">
        <f>IF(Table_NamedRanges[[#This Row],[Starts with '']]=FALSE,"Other",IF(AND(Table_NamedRanges[[#This Row],[Count of Colon ":"]]=0,Table_NamedRanges[[#This Row],[Count of ","]]=0),"Single Cell",IF(Table_NamedRanges[[#This Row],[Count of Colon ":"]]=1,"Single Range", "Multiple (Cell or Range)")))</f>
        <v>Single Range</v>
      </c>
    </row>
    <row r="116" spans="2:11" x14ac:dyDescent="0.25">
      <c r="B116" s="6" t="s">
        <v>911</v>
      </c>
      <c r="C116" s="8" t="s">
        <v>912</v>
      </c>
      <c r="D116" s="18" t="str">
        <f ca="1">IFERROR(INDIRECT(Table_NamedRanges[[#This Row],[Named Range Paste]]),"Undefined/Error")</f>
        <v>Undefined/Error</v>
      </c>
      <c r="E116" s="18" t="str">
        <f>Table_NamedRanges[[#This Row],[Reference Paste]]</f>
        <v>='Travel Expense Summary'!$K$27:$L$37</v>
      </c>
      <c r="F116" s="18" t="b">
        <f ca="1">ISERROR(VLOOKUP(Table_NamedRanges[[#This Row],[Named Range Paste]],OFFSET(INDEX(Table_ErrorList[],1,1),0,MATCH(Table_ErrorList[[#Headers],[Attention To Named Range]],Table_ErrorList[#Headers],0)-1,ROWS(Table_ErrorList[]),1),1,FALSE))=FALSE</f>
        <v>0</v>
      </c>
      <c r="G116" s="20" t="b">
        <f>MID(Table_NamedRanges[[#This Row],[Reference Text]],2,1)="'"</f>
        <v>1</v>
      </c>
      <c r="H116" s="20">
        <f>(LEN(Table_NamedRanges[[#This Row],[Reference Text]])-LEN(SUBSTITUTE(Table_NamedRanges[[#This Row],[Reference Text]],":","")))/LEN(":")</f>
        <v>1</v>
      </c>
      <c r="I116" s="20" t="b">
        <f>OR(ISERROR(FIND("[",Table_NamedRanges[[#This Row],[Reference Text]],1))=FALSE,ISERROR(FIND("]",Table_NamedRanges[[#This Row],[Reference Text]],1))=FALSE)</f>
        <v>0</v>
      </c>
      <c r="J116" s="20">
        <f>(LEN(Table_NamedRanges[[#This Row],[Reference Text]])-LEN(SUBSTITUTE(Table_NamedRanges[[#This Row],[Reference Text]],",","")))/LEN(",")</f>
        <v>0</v>
      </c>
      <c r="K116" s="20" t="str">
        <f>IF(Table_NamedRanges[[#This Row],[Starts with '']]=FALSE,"Other",IF(AND(Table_NamedRanges[[#This Row],[Count of Colon ":"]]=0,Table_NamedRanges[[#This Row],[Count of ","]]=0),"Single Cell",IF(Table_NamedRanges[[#This Row],[Count of Colon ":"]]=1,"Single Range", "Multiple (Cell or Range)")))</f>
        <v>Single Range</v>
      </c>
    </row>
    <row r="117" spans="2:11" x14ac:dyDescent="0.25">
      <c r="B117" s="6" t="s">
        <v>913</v>
      </c>
      <c r="C117" s="8" t="s">
        <v>914</v>
      </c>
      <c r="D117" s="18" t="str">
        <f ca="1">IFERROR(INDIRECT(Table_NamedRanges[[#This Row],[Named Range Paste]]),"Undefined/Error")</f>
        <v>Undefined/Error</v>
      </c>
      <c r="E117" s="18" t="str">
        <f>Table_NamedRanges[[#This Row],[Reference Paste]]</f>
        <v>='Travel Expense Summary'!$R$27:$R$37</v>
      </c>
      <c r="F117" s="18" t="b">
        <f ca="1">ISERROR(VLOOKUP(Table_NamedRanges[[#This Row],[Named Range Paste]],OFFSET(INDEX(Table_ErrorList[],1,1),0,MATCH(Table_ErrorList[[#Headers],[Attention To Named Range]],Table_ErrorList[#Headers],0)-1,ROWS(Table_ErrorList[]),1),1,FALSE))=FALSE</f>
        <v>0</v>
      </c>
      <c r="G117" s="20" t="b">
        <f>MID(Table_NamedRanges[[#This Row],[Reference Text]],2,1)="'"</f>
        <v>1</v>
      </c>
      <c r="H117" s="20">
        <f>(LEN(Table_NamedRanges[[#This Row],[Reference Text]])-LEN(SUBSTITUTE(Table_NamedRanges[[#This Row],[Reference Text]],":","")))/LEN(":")</f>
        <v>1</v>
      </c>
      <c r="I117" s="20" t="b">
        <f>OR(ISERROR(FIND("[",Table_NamedRanges[[#This Row],[Reference Text]],1))=FALSE,ISERROR(FIND("]",Table_NamedRanges[[#This Row],[Reference Text]],1))=FALSE)</f>
        <v>0</v>
      </c>
      <c r="J117" s="20">
        <f>(LEN(Table_NamedRanges[[#This Row],[Reference Text]])-LEN(SUBSTITUTE(Table_NamedRanges[[#This Row],[Reference Text]],",","")))/LEN(",")</f>
        <v>0</v>
      </c>
      <c r="K117" s="20" t="str">
        <f>IF(Table_NamedRanges[[#This Row],[Starts with '']]=FALSE,"Other",IF(AND(Table_NamedRanges[[#This Row],[Count of Colon ":"]]=0,Table_NamedRanges[[#This Row],[Count of ","]]=0),"Single Cell",IF(Table_NamedRanges[[#This Row],[Count of Colon ":"]]=1,"Single Range", "Multiple (Cell or Range)")))</f>
        <v>Single Range</v>
      </c>
    </row>
    <row r="118" spans="2:11" x14ac:dyDescent="0.25">
      <c r="B118" s="6" t="s">
        <v>915</v>
      </c>
      <c r="C118" s="8" t="s">
        <v>916</v>
      </c>
      <c r="D118" s="18" t="str">
        <f ca="1">IFERROR(INDIRECT(Table_NamedRanges[[#This Row],[Named Range Paste]]),"Undefined/Error")</f>
        <v>Undefined/Error</v>
      </c>
      <c r="E118" s="18" t="str">
        <f>Table_NamedRanges[[#This Row],[Reference Paste]]</f>
        <v>='Travel Expense Summary'!$Y$27:$Y$37</v>
      </c>
      <c r="F118" s="18" t="b">
        <f ca="1">ISERROR(VLOOKUP(Table_NamedRanges[[#This Row],[Named Range Paste]],OFFSET(INDEX(Table_ErrorList[],1,1),0,MATCH(Table_ErrorList[[#Headers],[Attention To Named Range]],Table_ErrorList[#Headers],0)-1,ROWS(Table_ErrorList[]),1),1,FALSE))=FALSE</f>
        <v>0</v>
      </c>
      <c r="G118" s="20" t="b">
        <f>MID(Table_NamedRanges[[#This Row],[Reference Text]],2,1)="'"</f>
        <v>1</v>
      </c>
      <c r="H118" s="20">
        <f>(LEN(Table_NamedRanges[[#This Row],[Reference Text]])-LEN(SUBSTITUTE(Table_NamedRanges[[#This Row],[Reference Text]],":","")))/LEN(":")</f>
        <v>1</v>
      </c>
      <c r="I118" s="20" t="b">
        <f>OR(ISERROR(FIND("[",Table_NamedRanges[[#This Row],[Reference Text]],1))=FALSE,ISERROR(FIND("]",Table_NamedRanges[[#This Row],[Reference Text]],1))=FALSE)</f>
        <v>0</v>
      </c>
      <c r="J118" s="20">
        <f>(LEN(Table_NamedRanges[[#This Row],[Reference Text]])-LEN(SUBSTITUTE(Table_NamedRanges[[#This Row],[Reference Text]],",","")))/LEN(",")</f>
        <v>0</v>
      </c>
      <c r="K118" s="20" t="str">
        <f>IF(Table_NamedRanges[[#This Row],[Starts with '']]=FALSE,"Other",IF(AND(Table_NamedRanges[[#This Row],[Count of Colon ":"]]=0,Table_NamedRanges[[#This Row],[Count of ","]]=0),"Single Cell",IF(Table_NamedRanges[[#This Row],[Count of Colon ":"]]=1,"Single Range", "Multiple (Cell or Range)")))</f>
        <v>Single Range</v>
      </c>
    </row>
    <row r="119" spans="2:11" x14ac:dyDescent="0.25">
      <c r="B119" s="6" t="s">
        <v>917</v>
      </c>
      <c r="C119" s="8" t="s">
        <v>918</v>
      </c>
      <c r="D119" s="18" t="str">
        <f ca="1">IFERROR(INDIRECT(Table_NamedRanges[[#This Row],[Named Range Paste]]),"Undefined/Error")</f>
        <v>Undefined/Error</v>
      </c>
      <c r="E119" s="18" t="str">
        <f>Table_NamedRanges[[#This Row],[Reference Paste]]</f>
        <v>='Travel Expense Summary'!$X$27:$X$37</v>
      </c>
      <c r="F119" s="18" t="b">
        <f ca="1">ISERROR(VLOOKUP(Table_NamedRanges[[#This Row],[Named Range Paste]],OFFSET(INDEX(Table_ErrorList[],1,1),0,MATCH(Table_ErrorList[[#Headers],[Attention To Named Range]],Table_ErrorList[#Headers],0)-1,ROWS(Table_ErrorList[]),1),1,FALSE))=FALSE</f>
        <v>0</v>
      </c>
      <c r="G119" s="20" t="b">
        <f>MID(Table_NamedRanges[[#This Row],[Reference Text]],2,1)="'"</f>
        <v>1</v>
      </c>
      <c r="H119" s="20">
        <f>(LEN(Table_NamedRanges[[#This Row],[Reference Text]])-LEN(SUBSTITUTE(Table_NamedRanges[[#This Row],[Reference Text]],":","")))/LEN(":")</f>
        <v>1</v>
      </c>
      <c r="I119" s="20" t="b">
        <f>OR(ISERROR(FIND("[",Table_NamedRanges[[#This Row],[Reference Text]],1))=FALSE,ISERROR(FIND("]",Table_NamedRanges[[#This Row],[Reference Text]],1))=FALSE)</f>
        <v>0</v>
      </c>
      <c r="J119" s="20">
        <f>(LEN(Table_NamedRanges[[#This Row],[Reference Text]])-LEN(SUBSTITUTE(Table_NamedRanges[[#This Row],[Reference Text]],",","")))/LEN(",")</f>
        <v>0</v>
      </c>
      <c r="K119" s="20" t="str">
        <f>IF(Table_NamedRanges[[#This Row],[Starts with '']]=FALSE,"Other",IF(AND(Table_NamedRanges[[#This Row],[Count of Colon ":"]]=0,Table_NamedRanges[[#This Row],[Count of ","]]=0),"Single Cell",IF(Table_NamedRanges[[#This Row],[Count of Colon ":"]]=1,"Single Range", "Multiple (Cell or Range)")))</f>
        <v>Single Range</v>
      </c>
    </row>
    <row r="120" spans="2:11" x14ac:dyDescent="0.25">
      <c r="B120" s="6" t="s">
        <v>919</v>
      </c>
      <c r="C120" s="8" t="s">
        <v>920</v>
      </c>
      <c r="D120" s="18" t="str">
        <f ca="1">IFERROR(INDIRECT(Table_NamedRanges[[#This Row],[Named Range Paste]]),"Undefined/Error")</f>
        <v>Undefined/Error</v>
      </c>
      <c r="E120" s="18" t="str">
        <f>Table_NamedRanges[[#This Row],[Reference Paste]]</f>
        <v>='Travel Expense Summary'!$T$27:$T$37</v>
      </c>
      <c r="F120" s="18" t="b">
        <f ca="1">ISERROR(VLOOKUP(Table_NamedRanges[[#This Row],[Named Range Paste]],OFFSET(INDEX(Table_ErrorList[],1,1),0,MATCH(Table_ErrorList[[#Headers],[Attention To Named Range]],Table_ErrorList[#Headers],0)-1,ROWS(Table_ErrorList[]),1),1,FALSE))=FALSE</f>
        <v>0</v>
      </c>
      <c r="G120" s="20" t="b">
        <f>MID(Table_NamedRanges[[#This Row],[Reference Text]],2,1)="'"</f>
        <v>1</v>
      </c>
      <c r="H120" s="20">
        <f>(LEN(Table_NamedRanges[[#This Row],[Reference Text]])-LEN(SUBSTITUTE(Table_NamedRanges[[#This Row],[Reference Text]],":","")))/LEN(":")</f>
        <v>1</v>
      </c>
      <c r="I120" s="20" t="b">
        <f>OR(ISERROR(FIND("[",Table_NamedRanges[[#This Row],[Reference Text]],1))=FALSE,ISERROR(FIND("]",Table_NamedRanges[[#This Row],[Reference Text]],1))=FALSE)</f>
        <v>0</v>
      </c>
      <c r="J120" s="20">
        <f>(LEN(Table_NamedRanges[[#This Row],[Reference Text]])-LEN(SUBSTITUTE(Table_NamedRanges[[#This Row],[Reference Text]],",","")))/LEN(",")</f>
        <v>0</v>
      </c>
      <c r="K120" s="20" t="str">
        <f>IF(Table_NamedRanges[[#This Row],[Starts with '']]=FALSE,"Other",IF(AND(Table_NamedRanges[[#This Row],[Count of Colon ":"]]=0,Table_NamedRanges[[#This Row],[Count of ","]]=0),"Single Cell",IF(Table_NamedRanges[[#This Row],[Count of Colon ":"]]=1,"Single Range", "Multiple (Cell or Range)")))</f>
        <v>Single Range</v>
      </c>
    </row>
    <row r="121" spans="2:11" x14ac:dyDescent="0.25">
      <c r="B121" s="6" t="s">
        <v>921</v>
      </c>
      <c r="C121" s="8" t="s">
        <v>922</v>
      </c>
      <c r="D121" s="18" t="str">
        <f ca="1">IFERROR(INDIRECT(Table_NamedRanges[[#This Row],[Named Range Paste]]),"Undefined/Error")</f>
        <v>Undefined/Error</v>
      </c>
      <c r="E121" s="18" t="str">
        <f>Table_NamedRanges[[#This Row],[Reference Paste]]</f>
        <v>='Travel Expense Summary'!$Z$27:$Z$37</v>
      </c>
      <c r="F121" s="18" t="b">
        <f ca="1">ISERROR(VLOOKUP(Table_NamedRanges[[#This Row],[Named Range Paste]],OFFSET(INDEX(Table_ErrorList[],1,1),0,MATCH(Table_ErrorList[[#Headers],[Attention To Named Range]],Table_ErrorList[#Headers],0)-1,ROWS(Table_ErrorList[]),1),1,FALSE))=FALSE</f>
        <v>0</v>
      </c>
      <c r="G121" s="20" t="b">
        <f>MID(Table_NamedRanges[[#This Row],[Reference Text]],2,1)="'"</f>
        <v>1</v>
      </c>
      <c r="H121" s="20">
        <f>(LEN(Table_NamedRanges[[#This Row],[Reference Text]])-LEN(SUBSTITUTE(Table_NamedRanges[[#This Row],[Reference Text]],":","")))/LEN(":")</f>
        <v>1</v>
      </c>
      <c r="I121" s="20" t="b">
        <f>OR(ISERROR(FIND("[",Table_NamedRanges[[#This Row],[Reference Text]],1))=FALSE,ISERROR(FIND("]",Table_NamedRanges[[#This Row],[Reference Text]],1))=FALSE)</f>
        <v>0</v>
      </c>
      <c r="J121" s="20">
        <f>(LEN(Table_NamedRanges[[#This Row],[Reference Text]])-LEN(SUBSTITUTE(Table_NamedRanges[[#This Row],[Reference Text]],",","")))/LEN(",")</f>
        <v>0</v>
      </c>
      <c r="K121" s="20" t="str">
        <f>IF(Table_NamedRanges[[#This Row],[Starts with '']]=FALSE,"Other",IF(AND(Table_NamedRanges[[#This Row],[Count of Colon ":"]]=0,Table_NamedRanges[[#This Row],[Count of ","]]=0),"Single Cell",IF(Table_NamedRanges[[#This Row],[Count of Colon ":"]]=1,"Single Range", "Multiple (Cell or Range)")))</f>
        <v>Single Range</v>
      </c>
    </row>
    <row r="122" spans="2:11" x14ac:dyDescent="0.25">
      <c r="B122" s="6" t="s">
        <v>411</v>
      </c>
      <c r="C122" s="8" t="s">
        <v>923</v>
      </c>
      <c r="D122" s="18">
        <f ca="1">IFERROR(INDIRECT(Table_NamedRanges[[#This Row],[Named Range Paste]]),"Undefined/Error")</f>
        <v>43556</v>
      </c>
      <c r="E122" s="18" t="str">
        <f>Table_NamedRanges[[#This Row],[Reference Paste]]</f>
        <v>='Travel Expense Summary'!$I$27</v>
      </c>
      <c r="F122" s="18" t="b">
        <f ca="1">ISERROR(VLOOKUP(Table_NamedRanges[[#This Row],[Named Range Paste]],OFFSET(INDEX(Table_ErrorList[],1,1),0,MATCH(Table_ErrorList[[#Headers],[Attention To Named Range]],Table_ErrorList[#Headers],0)-1,ROWS(Table_ErrorList[]),1),1,FALSE))=FALSE</f>
        <v>1</v>
      </c>
      <c r="G122" s="20" t="b">
        <f>MID(Table_NamedRanges[[#This Row],[Reference Text]],2,1)="'"</f>
        <v>1</v>
      </c>
      <c r="H122" s="20">
        <f>(LEN(Table_NamedRanges[[#This Row],[Reference Text]])-LEN(SUBSTITUTE(Table_NamedRanges[[#This Row],[Reference Text]],":","")))/LEN(":")</f>
        <v>0</v>
      </c>
      <c r="I122" s="20" t="b">
        <f>OR(ISERROR(FIND("[",Table_NamedRanges[[#This Row],[Reference Text]],1))=FALSE,ISERROR(FIND("]",Table_NamedRanges[[#This Row],[Reference Text]],1))=FALSE)</f>
        <v>0</v>
      </c>
      <c r="J122" s="20">
        <f>(LEN(Table_NamedRanges[[#This Row],[Reference Text]])-LEN(SUBSTITUTE(Table_NamedRanges[[#This Row],[Reference Text]],",","")))/LEN(",")</f>
        <v>0</v>
      </c>
      <c r="K122" s="20" t="str">
        <f>IF(Table_NamedRanges[[#This Row],[Starts with '']]=FALSE,"Other",IF(AND(Table_NamedRanges[[#This Row],[Count of Colon ":"]]=0,Table_NamedRanges[[#This Row],[Count of ","]]=0),"Single Cell",IF(Table_NamedRanges[[#This Row],[Count of Colon ":"]]=1,"Single Range", "Multiple (Cell or Range)")))</f>
        <v>Single Cell</v>
      </c>
    </row>
    <row r="123" spans="2:11" x14ac:dyDescent="0.25">
      <c r="B123" s="6" t="s">
        <v>449</v>
      </c>
      <c r="C123" s="8" t="s">
        <v>924</v>
      </c>
      <c r="D123" s="18">
        <f ca="1">IFERROR(INDIRECT(Table_NamedRanges[[#This Row],[Named Range Paste]]),"Undefined/Error")</f>
        <v>43556</v>
      </c>
      <c r="E123" s="18" t="str">
        <f>Table_NamedRanges[[#This Row],[Reference Paste]]</f>
        <v>='Travel Expense Summary'!$I$28</v>
      </c>
      <c r="F123" s="18" t="b">
        <f ca="1">ISERROR(VLOOKUP(Table_NamedRanges[[#This Row],[Named Range Paste]],OFFSET(INDEX(Table_ErrorList[],1,1),0,MATCH(Table_ErrorList[[#Headers],[Attention To Named Range]],Table_ErrorList[#Headers],0)-1,ROWS(Table_ErrorList[]),1),1,FALSE))=FALSE</f>
        <v>1</v>
      </c>
      <c r="G123" s="20" t="b">
        <f>MID(Table_NamedRanges[[#This Row],[Reference Text]],2,1)="'"</f>
        <v>1</v>
      </c>
      <c r="H123" s="20">
        <f>(LEN(Table_NamedRanges[[#This Row],[Reference Text]])-LEN(SUBSTITUTE(Table_NamedRanges[[#This Row],[Reference Text]],":","")))/LEN(":")</f>
        <v>0</v>
      </c>
      <c r="I123" s="20" t="b">
        <f>OR(ISERROR(FIND("[",Table_NamedRanges[[#This Row],[Reference Text]],1))=FALSE,ISERROR(FIND("]",Table_NamedRanges[[#This Row],[Reference Text]],1))=FALSE)</f>
        <v>0</v>
      </c>
      <c r="J123" s="20">
        <f>(LEN(Table_NamedRanges[[#This Row],[Reference Text]])-LEN(SUBSTITUTE(Table_NamedRanges[[#This Row],[Reference Text]],",","")))/LEN(",")</f>
        <v>0</v>
      </c>
      <c r="K123" s="20" t="str">
        <f>IF(Table_NamedRanges[[#This Row],[Starts with '']]=FALSE,"Other",IF(AND(Table_NamedRanges[[#This Row],[Count of Colon ":"]]=0,Table_NamedRanges[[#This Row],[Count of ","]]=0),"Single Cell",IF(Table_NamedRanges[[#This Row],[Count of Colon ":"]]=1,"Single Range", "Multiple (Cell or Range)")))</f>
        <v>Single Cell</v>
      </c>
    </row>
    <row r="124" spans="2:11" x14ac:dyDescent="0.25">
      <c r="B124" s="6" t="s">
        <v>474</v>
      </c>
      <c r="C124" s="8" t="s">
        <v>925</v>
      </c>
      <c r="D124" s="18">
        <f ca="1">IFERROR(INDIRECT(Table_NamedRanges[[#This Row],[Named Range Paste]]),"Undefined/Error")</f>
        <v>43585</v>
      </c>
      <c r="E124" s="18" t="str">
        <f>Table_NamedRanges[[#This Row],[Reference Paste]]</f>
        <v>='Travel Expense Summary'!$I$29</v>
      </c>
      <c r="F124" s="18" t="b">
        <f ca="1">ISERROR(VLOOKUP(Table_NamedRanges[[#This Row],[Named Range Paste]],OFFSET(INDEX(Table_ErrorList[],1,1),0,MATCH(Table_ErrorList[[#Headers],[Attention To Named Range]],Table_ErrorList[#Headers],0)-1,ROWS(Table_ErrorList[]),1),1,FALSE))=FALSE</f>
        <v>1</v>
      </c>
      <c r="G124" s="20" t="b">
        <f>MID(Table_NamedRanges[[#This Row],[Reference Text]],2,1)="'"</f>
        <v>1</v>
      </c>
      <c r="H124" s="20">
        <f>(LEN(Table_NamedRanges[[#This Row],[Reference Text]])-LEN(SUBSTITUTE(Table_NamedRanges[[#This Row],[Reference Text]],":","")))/LEN(":")</f>
        <v>0</v>
      </c>
      <c r="I124" s="20" t="b">
        <f>OR(ISERROR(FIND("[",Table_NamedRanges[[#This Row],[Reference Text]],1))=FALSE,ISERROR(FIND("]",Table_NamedRanges[[#This Row],[Reference Text]],1))=FALSE)</f>
        <v>0</v>
      </c>
      <c r="J124" s="20">
        <f>(LEN(Table_NamedRanges[[#This Row],[Reference Text]])-LEN(SUBSTITUTE(Table_NamedRanges[[#This Row],[Reference Text]],",","")))/LEN(",")</f>
        <v>0</v>
      </c>
      <c r="K124" s="20" t="str">
        <f>IF(Table_NamedRanges[[#This Row],[Starts with '']]=FALSE,"Other",IF(AND(Table_NamedRanges[[#This Row],[Count of Colon ":"]]=0,Table_NamedRanges[[#This Row],[Count of ","]]=0),"Single Cell",IF(Table_NamedRanges[[#This Row],[Count of Colon ":"]]=1,"Single Range", "Multiple (Cell or Range)")))</f>
        <v>Single Cell</v>
      </c>
    </row>
    <row r="125" spans="2:11" x14ac:dyDescent="0.25">
      <c r="B125" s="6" t="s">
        <v>497</v>
      </c>
      <c r="C125" s="8" t="s">
        <v>926</v>
      </c>
      <c r="D125" s="18">
        <f ca="1">IFERROR(INDIRECT(Table_NamedRanges[[#This Row],[Named Range Paste]]),"Undefined/Error")</f>
        <v>43609</v>
      </c>
      <c r="E125" s="18" t="str">
        <f>Table_NamedRanges[[#This Row],[Reference Paste]]</f>
        <v>='Travel Expense Summary'!$I$30</v>
      </c>
      <c r="F125" s="18" t="b">
        <f ca="1">ISERROR(VLOOKUP(Table_NamedRanges[[#This Row],[Named Range Paste]],OFFSET(INDEX(Table_ErrorList[],1,1),0,MATCH(Table_ErrorList[[#Headers],[Attention To Named Range]],Table_ErrorList[#Headers],0)-1,ROWS(Table_ErrorList[]),1),1,FALSE))=FALSE</f>
        <v>1</v>
      </c>
      <c r="G125" s="20" t="b">
        <f>MID(Table_NamedRanges[[#This Row],[Reference Text]],2,1)="'"</f>
        <v>1</v>
      </c>
      <c r="H125" s="20">
        <f>(LEN(Table_NamedRanges[[#This Row],[Reference Text]])-LEN(SUBSTITUTE(Table_NamedRanges[[#This Row],[Reference Text]],":","")))/LEN(":")</f>
        <v>0</v>
      </c>
      <c r="I125" s="20" t="b">
        <f>OR(ISERROR(FIND("[",Table_NamedRanges[[#This Row],[Reference Text]],1))=FALSE,ISERROR(FIND("]",Table_NamedRanges[[#This Row],[Reference Text]],1))=FALSE)</f>
        <v>0</v>
      </c>
      <c r="J125" s="20">
        <f>(LEN(Table_NamedRanges[[#This Row],[Reference Text]])-LEN(SUBSTITUTE(Table_NamedRanges[[#This Row],[Reference Text]],",","")))/LEN(",")</f>
        <v>0</v>
      </c>
      <c r="K125" s="20" t="str">
        <f>IF(Table_NamedRanges[[#This Row],[Starts with '']]=FALSE,"Other",IF(AND(Table_NamedRanges[[#This Row],[Count of Colon ":"]]=0,Table_NamedRanges[[#This Row],[Count of ","]]=0),"Single Cell",IF(Table_NamedRanges[[#This Row],[Count of Colon ":"]]=1,"Single Range", "Multiple (Cell or Range)")))</f>
        <v>Single Cell</v>
      </c>
    </row>
    <row r="126" spans="2:11" x14ac:dyDescent="0.25">
      <c r="B126" s="6" t="s">
        <v>520</v>
      </c>
      <c r="C126" s="8" t="s">
        <v>927</v>
      </c>
      <c r="D126" s="18">
        <f ca="1">IFERROR(INDIRECT(Table_NamedRanges[[#This Row],[Named Range Paste]]),"Undefined/Error")</f>
        <v>0</v>
      </c>
      <c r="E126" s="18" t="str">
        <f>Table_NamedRanges[[#This Row],[Reference Paste]]</f>
        <v>='Travel Expense Summary'!$I$31</v>
      </c>
      <c r="F126" s="18" t="b">
        <f ca="1">ISERROR(VLOOKUP(Table_NamedRanges[[#This Row],[Named Range Paste]],OFFSET(INDEX(Table_ErrorList[],1,1),0,MATCH(Table_ErrorList[[#Headers],[Attention To Named Range]],Table_ErrorList[#Headers],0)-1,ROWS(Table_ErrorList[]),1),1,FALSE))=FALSE</f>
        <v>1</v>
      </c>
      <c r="G126" s="20" t="b">
        <f>MID(Table_NamedRanges[[#This Row],[Reference Text]],2,1)="'"</f>
        <v>1</v>
      </c>
      <c r="H126" s="20">
        <f>(LEN(Table_NamedRanges[[#This Row],[Reference Text]])-LEN(SUBSTITUTE(Table_NamedRanges[[#This Row],[Reference Text]],":","")))/LEN(":")</f>
        <v>0</v>
      </c>
      <c r="I126" s="20" t="b">
        <f>OR(ISERROR(FIND("[",Table_NamedRanges[[#This Row],[Reference Text]],1))=FALSE,ISERROR(FIND("]",Table_NamedRanges[[#This Row],[Reference Text]],1))=FALSE)</f>
        <v>0</v>
      </c>
      <c r="J126" s="20">
        <f>(LEN(Table_NamedRanges[[#This Row],[Reference Text]])-LEN(SUBSTITUTE(Table_NamedRanges[[#This Row],[Reference Text]],",","")))/LEN(",")</f>
        <v>0</v>
      </c>
      <c r="K126" s="20" t="str">
        <f>IF(Table_NamedRanges[[#This Row],[Starts with '']]=FALSE,"Other",IF(AND(Table_NamedRanges[[#This Row],[Count of Colon ":"]]=0,Table_NamedRanges[[#This Row],[Count of ","]]=0),"Single Cell",IF(Table_NamedRanges[[#This Row],[Count of Colon ":"]]=1,"Single Range", "Multiple (Cell or Range)")))</f>
        <v>Single Cell</v>
      </c>
    </row>
    <row r="127" spans="2:11" x14ac:dyDescent="0.25">
      <c r="B127" s="6" t="s">
        <v>543</v>
      </c>
      <c r="C127" s="8" t="s">
        <v>928</v>
      </c>
      <c r="D127" s="18">
        <f ca="1">IFERROR(INDIRECT(Table_NamedRanges[[#This Row],[Named Range Paste]]),"Undefined/Error")</f>
        <v>0</v>
      </c>
      <c r="E127" s="18" t="str">
        <f>Table_NamedRanges[[#This Row],[Reference Paste]]</f>
        <v>='Travel Expense Summary'!$I$32</v>
      </c>
      <c r="F127" s="18" t="b">
        <f ca="1">ISERROR(VLOOKUP(Table_NamedRanges[[#This Row],[Named Range Paste]],OFFSET(INDEX(Table_ErrorList[],1,1),0,MATCH(Table_ErrorList[[#Headers],[Attention To Named Range]],Table_ErrorList[#Headers],0)-1,ROWS(Table_ErrorList[]),1),1,FALSE))=FALSE</f>
        <v>1</v>
      </c>
      <c r="G127" s="20" t="b">
        <f>MID(Table_NamedRanges[[#This Row],[Reference Text]],2,1)="'"</f>
        <v>1</v>
      </c>
      <c r="H127" s="20">
        <f>(LEN(Table_NamedRanges[[#This Row],[Reference Text]])-LEN(SUBSTITUTE(Table_NamedRanges[[#This Row],[Reference Text]],":","")))/LEN(":")</f>
        <v>0</v>
      </c>
      <c r="I127" s="20" t="b">
        <f>OR(ISERROR(FIND("[",Table_NamedRanges[[#This Row],[Reference Text]],1))=FALSE,ISERROR(FIND("]",Table_NamedRanges[[#This Row],[Reference Text]],1))=FALSE)</f>
        <v>0</v>
      </c>
      <c r="J127" s="20">
        <f>(LEN(Table_NamedRanges[[#This Row],[Reference Text]])-LEN(SUBSTITUTE(Table_NamedRanges[[#This Row],[Reference Text]],",","")))/LEN(",")</f>
        <v>0</v>
      </c>
      <c r="K127" s="20" t="str">
        <f>IF(Table_NamedRanges[[#This Row],[Starts with '']]=FALSE,"Other",IF(AND(Table_NamedRanges[[#This Row],[Count of Colon ":"]]=0,Table_NamedRanges[[#This Row],[Count of ","]]=0),"Single Cell",IF(Table_NamedRanges[[#This Row],[Count of Colon ":"]]=1,"Single Range", "Multiple (Cell or Range)")))</f>
        <v>Single Cell</v>
      </c>
    </row>
    <row r="128" spans="2:11" x14ac:dyDescent="0.25">
      <c r="B128" s="6" t="s">
        <v>566</v>
      </c>
      <c r="C128" s="8" t="s">
        <v>929</v>
      </c>
      <c r="D128" s="18">
        <f ca="1">IFERROR(INDIRECT(Table_NamedRanges[[#This Row],[Named Range Paste]]),"Undefined/Error")</f>
        <v>0</v>
      </c>
      <c r="E128" s="18" t="str">
        <f>Table_NamedRanges[[#This Row],[Reference Paste]]</f>
        <v>='Travel Expense Summary'!$I$33</v>
      </c>
      <c r="F128" s="18" t="b">
        <f ca="1">ISERROR(VLOOKUP(Table_NamedRanges[[#This Row],[Named Range Paste]],OFFSET(INDEX(Table_ErrorList[],1,1),0,MATCH(Table_ErrorList[[#Headers],[Attention To Named Range]],Table_ErrorList[#Headers],0)-1,ROWS(Table_ErrorList[]),1),1,FALSE))=FALSE</f>
        <v>1</v>
      </c>
      <c r="G128" s="20" t="b">
        <f>MID(Table_NamedRanges[[#This Row],[Reference Text]],2,1)="'"</f>
        <v>1</v>
      </c>
      <c r="H128" s="20">
        <f>(LEN(Table_NamedRanges[[#This Row],[Reference Text]])-LEN(SUBSTITUTE(Table_NamedRanges[[#This Row],[Reference Text]],":","")))/LEN(":")</f>
        <v>0</v>
      </c>
      <c r="I128" s="20" t="b">
        <f>OR(ISERROR(FIND("[",Table_NamedRanges[[#This Row],[Reference Text]],1))=FALSE,ISERROR(FIND("]",Table_NamedRanges[[#This Row],[Reference Text]],1))=FALSE)</f>
        <v>0</v>
      </c>
      <c r="J128" s="20">
        <f>(LEN(Table_NamedRanges[[#This Row],[Reference Text]])-LEN(SUBSTITUTE(Table_NamedRanges[[#This Row],[Reference Text]],",","")))/LEN(",")</f>
        <v>0</v>
      </c>
      <c r="K128" s="20" t="str">
        <f>IF(Table_NamedRanges[[#This Row],[Starts with '']]=FALSE,"Other",IF(AND(Table_NamedRanges[[#This Row],[Count of Colon ":"]]=0,Table_NamedRanges[[#This Row],[Count of ","]]=0),"Single Cell",IF(Table_NamedRanges[[#This Row],[Count of Colon ":"]]=1,"Single Range", "Multiple (Cell or Range)")))</f>
        <v>Single Cell</v>
      </c>
    </row>
    <row r="129" spans="2:11" x14ac:dyDescent="0.25">
      <c r="B129" s="6" t="s">
        <v>589</v>
      </c>
      <c r="C129" s="8" t="s">
        <v>930</v>
      </c>
      <c r="D129" s="18">
        <f ca="1">IFERROR(INDIRECT(Table_NamedRanges[[#This Row],[Named Range Paste]]),"Undefined/Error")</f>
        <v>0</v>
      </c>
      <c r="E129" s="18" t="str">
        <f>Table_NamedRanges[[#This Row],[Reference Paste]]</f>
        <v>='Travel Expense Summary'!$I$34</v>
      </c>
      <c r="F129" s="18" t="b">
        <f ca="1">ISERROR(VLOOKUP(Table_NamedRanges[[#This Row],[Named Range Paste]],OFFSET(INDEX(Table_ErrorList[],1,1),0,MATCH(Table_ErrorList[[#Headers],[Attention To Named Range]],Table_ErrorList[#Headers],0)-1,ROWS(Table_ErrorList[]),1),1,FALSE))=FALSE</f>
        <v>1</v>
      </c>
      <c r="G129" s="20" t="b">
        <f>MID(Table_NamedRanges[[#This Row],[Reference Text]],2,1)="'"</f>
        <v>1</v>
      </c>
      <c r="H129" s="20">
        <f>(LEN(Table_NamedRanges[[#This Row],[Reference Text]])-LEN(SUBSTITUTE(Table_NamedRanges[[#This Row],[Reference Text]],":","")))/LEN(":")</f>
        <v>0</v>
      </c>
      <c r="I129" s="20" t="b">
        <f>OR(ISERROR(FIND("[",Table_NamedRanges[[#This Row],[Reference Text]],1))=FALSE,ISERROR(FIND("]",Table_NamedRanges[[#This Row],[Reference Text]],1))=FALSE)</f>
        <v>0</v>
      </c>
      <c r="J129" s="20">
        <f>(LEN(Table_NamedRanges[[#This Row],[Reference Text]])-LEN(SUBSTITUTE(Table_NamedRanges[[#This Row],[Reference Text]],",","")))/LEN(",")</f>
        <v>0</v>
      </c>
      <c r="K129" s="20" t="str">
        <f>IF(Table_NamedRanges[[#This Row],[Starts with '']]=FALSE,"Other",IF(AND(Table_NamedRanges[[#This Row],[Count of Colon ":"]]=0,Table_NamedRanges[[#This Row],[Count of ","]]=0),"Single Cell",IF(Table_NamedRanges[[#This Row],[Count of Colon ":"]]=1,"Single Range", "Multiple (Cell or Range)")))</f>
        <v>Single Cell</v>
      </c>
    </row>
    <row r="130" spans="2:11" x14ac:dyDescent="0.25">
      <c r="B130" s="6" t="s">
        <v>612</v>
      </c>
      <c r="C130" s="8" t="s">
        <v>931</v>
      </c>
      <c r="D130" s="18">
        <f ca="1">IFERROR(INDIRECT(Table_NamedRanges[[#This Row],[Named Range Paste]]),"Undefined/Error")</f>
        <v>0</v>
      </c>
      <c r="E130" s="18" t="str">
        <f>Table_NamedRanges[[#This Row],[Reference Paste]]</f>
        <v>='Travel Expense Summary'!$I$35</v>
      </c>
      <c r="F130" s="18" t="b">
        <f ca="1">ISERROR(VLOOKUP(Table_NamedRanges[[#This Row],[Named Range Paste]],OFFSET(INDEX(Table_ErrorList[],1,1),0,MATCH(Table_ErrorList[[#Headers],[Attention To Named Range]],Table_ErrorList[#Headers],0)-1,ROWS(Table_ErrorList[]),1),1,FALSE))=FALSE</f>
        <v>1</v>
      </c>
      <c r="G130" s="20" t="b">
        <f>MID(Table_NamedRanges[[#This Row],[Reference Text]],2,1)="'"</f>
        <v>1</v>
      </c>
      <c r="H130" s="20">
        <f>(LEN(Table_NamedRanges[[#This Row],[Reference Text]])-LEN(SUBSTITUTE(Table_NamedRanges[[#This Row],[Reference Text]],":","")))/LEN(":")</f>
        <v>0</v>
      </c>
      <c r="I130" s="20" t="b">
        <f>OR(ISERROR(FIND("[",Table_NamedRanges[[#This Row],[Reference Text]],1))=FALSE,ISERROR(FIND("]",Table_NamedRanges[[#This Row],[Reference Text]],1))=FALSE)</f>
        <v>0</v>
      </c>
      <c r="J130" s="20">
        <f>(LEN(Table_NamedRanges[[#This Row],[Reference Text]])-LEN(SUBSTITUTE(Table_NamedRanges[[#This Row],[Reference Text]],",","")))/LEN(",")</f>
        <v>0</v>
      </c>
      <c r="K130" s="20" t="str">
        <f>IF(Table_NamedRanges[[#This Row],[Starts with '']]=FALSE,"Other",IF(AND(Table_NamedRanges[[#This Row],[Count of Colon ":"]]=0,Table_NamedRanges[[#This Row],[Count of ","]]=0),"Single Cell",IF(Table_NamedRanges[[#This Row],[Count of Colon ":"]]=1,"Single Range", "Multiple (Cell or Range)")))</f>
        <v>Single Cell</v>
      </c>
    </row>
    <row r="131" spans="2:11" x14ac:dyDescent="0.25">
      <c r="B131" s="6" t="s">
        <v>635</v>
      </c>
      <c r="C131" s="8" t="s">
        <v>932</v>
      </c>
      <c r="D131" s="18">
        <f ca="1">IFERROR(INDIRECT(Table_NamedRanges[[#This Row],[Named Range Paste]]),"Undefined/Error")</f>
        <v>0</v>
      </c>
      <c r="E131" s="18" t="str">
        <f>Table_NamedRanges[[#This Row],[Reference Paste]]</f>
        <v>='Travel Expense Summary'!$I$36</v>
      </c>
      <c r="F131" s="18" t="b">
        <f ca="1">ISERROR(VLOOKUP(Table_NamedRanges[[#This Row],[Named Range Paste]],OFFSET(INDEX(Table_ErrorList[],1,1),0,MATCH(Table_ErrorList[[#Headers],[Attention To Named Range]],Table_ErrorList[#Headers],0)-1,ROWS(Table_ErrorList[]),1),1,FALSE))=FALSE</f>
        <v>1</v>
      </c>
      <c r="G131" s="20" t="b">
        <f>MID(Table_NamedRanges[[#This Row],[Reference Text]],2,1)="'"</f>
        <v>1</v>
      </c>
      <c r="H131" s="20">
        <f>(LEN(Table_NamedRanges[[#This Row],[Reference Text]])-LEN(SUBSTITUTE(Table_NamedRanges[[#This Row],[Reference Text]],":","")))/LEN(":")</f>
        <v>0</v>
      </c>
      <c r="I131" s="20" t="b">
        <f>OR(ISERROR(FIND("[",Table_NamedRanges[[#This Row],[Reference Text]],1))=FALSE,ISERROR(FIND("]",Table_NamedRanges[[#This Row],[Reference Text]],1))=FALSE)</f>
        <v>0</v>
      </c>
      <c r="J131" s="20">
        <f>(LEN(Table_NamedRanges[[#This Row],[Reference Text]])-LEN(SUBSTITUTE(Table_NamedRanges[[#This Row],[Reference Text]],",","")))/LEN(",")</f>
        <v>0</v>
      </c>
      <c r="K131" s="20" t="str">
        <f>IF(Table_NamedRanges[[#This Row],[Starts with '']]=FALSE,"Other",IF(AND(Table_NamedRanges[[#This Row],[Count of Colon ":"]]=0,Table_NamedRanges[[#This Row],[Count of ","]]=0),"Single Cell",IF(Table_NamedRanges[[#This Row],[Count of Colon ":"]]=1,"Single Range", "Multiple (Cell or Range)")))</f>
        <v>Single Cell</v>
      </c>
    </row>
    <row r="132" spans="2:11" x14ac:dyDescent="0.25">
      <c r="B132" s="6" t="s">
        <v>658</v>
      </c>
      <c r="C132" s="8" t="s">
        <v>933</v>
      </c>
      <c r="D132" s="18">
        <f ca="1">IFERROR(INDIRECT(Table_NamedRanges[[#This Row],[Named Range Paste]]),"Undefined/Error")</f>
        <v>0</v>
      </c>
      <c r="E132" s="18" t="str">
        <f>Table_NamedRanges[[#This Row],[Reference Paste]]</f>
        <v>='Travel Expense Summary'!$I$37</v>
      </c>
      <c r="F132" s="18" t="b">
        <f ca="1">ISERROR(VLOOKUP(Table_NamedRanges[[#This Row],[Named Range Paste]],OFFSET(INDEX(Table_ErrorList[],1,1),0,MATCH(Table_ErrorList[[#Headers],[Attention To Named Range]],Table_ErrorList[#Headers],0)-1,ROWS(Table_ErrorList[]),1),1,FALSE))=FALSE</f>
        <v>1</v>
      </c>
      <c r="G132" s="20" t="b">
        <f>MID(Table_NamedRanges[[#This Row],[Reference Text]],2,1)="'"</f>
        <v>1</v>
      </c>
      <c r="H132" s="20">
        <f>(LEN(Table_NamedRanges[[#This Row],[Reference Text]])-LEN(SUBSTITUTE(Table_NamedRanges[[#This Row],[Reference Text]],":","")))/LEN(":")</f>
        <v>0</v>
      </c>
      <c r="I132" s="20" t="b">
        <f>OR(ISERROR(FIND("[",Table_NamedRanges[[#This Row],[Reference Text]],1))=FALSE,ISERROR(FIND("]",Table_NamedRanges[[#This Row],[Reference Text]],1))=FALSE)</f>
        <v>0</v>
      </c>
      <c r="J132" s="20">
        <f>(LEN(Table_NamedRanges[[#This Row],[Reference Text]])-LEN(SUBSTITUTE(Table_NamedRanges[[#This Row],[Reference Text]],",","")))/LEN(",")</f>
        <v>0</v>
      </c>
      <c r="K132" s="20" t="str">
        <f>IF(Table_NamedRanges[[#This Row],[Starts with '']]=FALSE,"Other",IF(AND(Table_NamedRanges[[#This Row],[Count of Colon ":"]]=0,Table_NamedRanges[[#This Row],[Count of ","]]=0),"Single Cell",IF(Table_NamedRanges[[#This Row],[Count of Colon ":"]]=1,"Single Range", "Multiple (Cell or Range)")))</f>
        <v>Single Cell</v>
      </c>
    </row>
    <row r="133" spans="2:11" ht="30" x14ac:dyDescent="0.25">
      <c r="B133" s="6" t="s">
        <v>426</v>
      </c>
      <c r="C133" s="8" t="s">
        <v>934</v>
      </c>
      <c r="D133" s="18" t="str">
        <f ca="1">IFERROR(INDIRECT(Table_NamedRanges[[#This Row],[Named Range Paste]]),"Undefined/Error")</f>
        <v>Round Trip travel to placement</v>
      </c>
      <c r="E133" s="18" t="str">
        <f>Table_NamedRanges[[#This Row],[Reference Paste]]</f>
        <v>='Travel Expense Summary'!$M$27</v>
      </c>
      <c r="F133" s="18" t="b">
        <f ca="1">ISERROR(VLOOKUP(Table_NamedRanges[[#This Row],[Named Range Paste]],OFFSET(INDEX(Table_ErrorList[],1,1),0,MATCH(Table_ErrorList[[#Headers],[Attention To Named Range]],Table_ErrorList[#Headers],0)-1,ROWS(Table_ErrorList[]),1),1,FALSE))=FALSE</f>
        <v>1</v>
      </c>
      <c r="G133" s="20" t="b">
        <f>MID(Table_NamedRanges[[#This Row],[Reference Text]],2,1)="'"</f>
        <v>1</v>
      </c>
      <c r="H133" s="20">
        <f>(LEN(Table_NamedRanges[[#This Row],[Reference Text]])-LEN(SUBSTITUTE(Table_NamedRanges[[#This Row],[Reference Text]],":","")))/LEN(":")</f>
        <v>0</v>
      </c>
      <c r="I133" s="20" t="b">
        <f>OR(ISERROR(FIND("[",Table_NamedRanges[[#This Row],[Reference Text]],1))=FALSE,ISERROR(FIND("]",Table_NamedRanges[[#This Row],[Reference Text]],1))=FALSE)</f>
        <v>0</v>
      </c>
      <c r="J133" s="20">
        <f>(LEN(Table_NamedRanges[[#This Row],[Reference Text]])-LEN(SUBSTITUTE(Table_NamedRanges[[#This Row],[Reference Text]],",","")))/LEN(",")</f>
        <v>0</v>
      </c>
      <c r="K133" s="20" t="str">
        <f>IF(Table_NamedRanges[[#This Row],[Starts with '']]=FALSE,"Other",IF(AND(Table_NamedRanges[[#This Row],[Count of Colon ":"]]=0,Table_NamedRanges[[#This Row],[Count of ","]]=0),"Single Cell",IF(Table_NamedRanges[[#This Row],[Count of Colon ":"]]=1,"Single Range", "Multiple (Cell or Range)")))</f>
        <v>Single Cell</v>
      </c>
    </row>
    <row r="134" spans="2:11" ht="30" x14ac:dyDescent="0.25">
      <c r="B134" s="6" t="s">
        <v>457</v>
      </c>
      <c r="C134" s="8" t="s">
        <v>935</v>
      </c>
      <c r="D134" s="18" t="str">
        <f ca="1">IFERROR(INDIRECT(Table_NamedRanges[[#This Row],[Named Range Paste]]),"Undefined/Error")</f>
        <v>Comfort Inn Sault Ste Marie</v>
      </c>
      <c r="E134" s="18" t="str">
        <f>Table_NamedRanges[[#This Row],[Reference Paste]]</f>
        <v>='Travel Expense Summary'!$M$28</v>
      </c>
      <c r="F134" s="18" t="b">
        <f ca="1">ISERROR(VLOOKUP(Table_NamedRanges[[#This Row],[Named Range Paste]],OFFSET(INDEX(Table_ErrorList[],1,1),0,MATCH(Table_ErrorList[[#Headers],[Attention To Named Range]],Table_ErrorList[#Headers],0)-1,ROWS(Table_ErrorList[]),1),1,FALSE))=FALSE</f>
        <v>1</v>
      </c>
      <c r="G134" s="20" t="b">
        <f>MID(Table_NamedRanges[[#This Row],[Reference Text]],2,1)="'"</f>
        <v>1</v>
      </c>
      <c r="H134" s="20">
        <f>(LEN(Table_NamedRanges[[#This Row],[Reference Text]])-LEN(SUBSTITUTE(Table_NamedRanges[[#This Row],[Reference Text]],":","")))/LEN(":")</f>
        <v>0</v>
      </c>
      <c r="I134" s="20" t="b">
        <f>OR(ISERROR(FIND("[",Table_NamedRanges[[#This Row],[Reference Text]],1))=FALSE,ISERROR(FIND("]",Table_NamedRanges[[#This Row],[Reference Text]],1))=FALSE)</f>
        <v>0</v>
      </c>
      <c r="J134" s="20">
        <f>(LEN(Table_NamedRanges[[#This Row],[Reference Text]])-LEN(SUBSTITUTE(Table_NamedRanges[[#This Row],[Reference Text]],",","")))/LEN(",")</f>
        <v>0</v>
      </c>
      <c r="K134" s="20" t="str">
        <f>IF(Table_NamedRanges[[#This Row],[Starts with '']]=FALSE,"Other",IF(AND(Table_NamedRanges[[#This Row],[Count of Colon ":"]]=0,Table_NamedRanges[[#This Row],[Count of ","]]=0),"Single Cell",IF(Table_NamedRanges[[#This Row],[Count of Colon ":"]]=1,"Single Range", "Multiple (Cell or Range)")))</f>
        <v>Single Cell</v>
      </c>
    </row>
    <row r="135" spans="2:11" x14ac:dyDescent="0.25">
      <c r="B135" s="6" t="s">
        <v>482</v>
      </c>
      <c r="C135" s="8" t="s">
        <v>936</v>
      </c>
      <c r="D135" s="18" t="str">
        <f ca="1">IFERROR(INDIRECT(Table_NamedRanges[[#This Row],[Named Range Paste]]),"Undefined/Error")</f>
        <v>Intercommunity Travel</v>
      </c>
      <c r="E135" s="18" t="str">
        <f>Table_NamedRanges[[#This Row],[Reference Paste]]</f>
        <v>='Travel Expense Summary'!$M$29</v>
      </c>
      <c r="F135" s="18" t="b">
        <f ca="1">ISERROR(VLOOKUP(Table_NamedRanges[[#This Row],[Named Range Paste]],OFFSET(INDEX(Table_ErrorList[],1,1),0,MATCH(Table_ErrorList[[#Headers],[Attention To Named Range]],Table_ErrorList[#Headers],0)-1,ROWS(Table_ErrorList[]),1),1,FALSE))=FALSE</f>
        <v>1</v>
      </c>
      <c r="G135" s="20" t="b">
        <f>MID(Table_NamedRanges[[#This Row],[Reference Text]],2,1)="'"</f>
        <v>1</v>
      </c>
      <c r="H135" s="20">
        <f>(LEN(Table_NamedRanges[[#This Row],[Reference Text]])-LEN(SUBSTITUTE(Table_NamedRanges[[#This Row],[Reference Text]],":","")))/LEN(":")</f>
        <v>0</v>
      </c>
      <c r="I135" s="20" t="b">
        <f>OR(ISERROR(FIND("[",Table_NamedRanges[[#This Row],[Reference Text]],1))=FALSE,ISERROR(FIND("]",Table_NamedRanges[[#This Row],[Reference Text]],1))=FALSE)</f>
        <v>0</v>
      </c>
      <c r="J135" s="20">
        <f>(LEN(Table_NamedRanges[[#This Row],[Reference Text]])-LEN(SUBSTITUTE(Table_NamedRanges[[#This Row],[Reference Text]],",","")))/LEN(",")</f>
        <v>0</v>
      </c>
      <c r="K135" s="20" t="str">
        <f>IF(Table_NamedRanges[[#This Row],[Starts with '']]=FALSE,"Other",IF(AND(Table_NamedRanges[[#This Row],[Count of Colon ":"]]=0,Table_NamedRanges[[#This Row],[Count of ","]]=0),"Single Cell",IF(Table_NamedRanges[[#This Row],[Count of Colon ":"]]=1,"Single Range", "Multiple (Cell or Range)")))</f>
        <v>Single Cell</v>
      </c>
    </row>
    <row r="136" spans="2:11" ht="30" x14ac:dyDescent="0.25">
      <c r="B136" s="6" t="s">
        <v>505</v>
      </c>
      <c r="C136" s="8" t="s">
        <v>937</v>
      </c>
      <c r="D136" s="18" t="str">
        <f ca="1">IFERROR(INDIRECT(Table_NamedRanges[[#This Row],[Named Range Paste]]),"Undefined/Error")</f>
        <v>Comfort Inn Sault Ste Marie</v>
      </c>
      <c r="E136" s="18" t="str">
        <f>Table_NamedRanges[[#This Row],[Reference Paste]]</f>
        <v>='Travel Expense Summary'!$M$30</v>
      </c>
      <c r="F136" s="18" t="b">
        <f ca="1">ISERROR(VLOOKUP(Table_NamedRanges[[#This Row],[Named Range Paste]],OFFSET(INDEX(Table_ErrorList[],1,1),0,MATCH(Table_ErrorList[[#Headers],[Attention To Named Range]],Table_ErrorList[#Headers],0)-1,ROWS(Table_ErrorList[]),1),1,FALSE))=FALSE</f>
        <v>1</v>
      </c>
      <c r="G136" s="20" t="b">
        <f>MID(Table_NamedRanges[[#This Row],[Reference Text]],2,1)="'"</f>
        <v>1</v>
      </c>
      <c r="H136" s="20">
        <f>(LEN(Table_NamedRanges[[#This Row],[Reference Text]])-LEN(SUBSTITUTE(Table_NamedRanges[[#This Row],[Reference Text]],":","")))/LEN(":")</f>
        <v>0</v>
      </c>
      <c r="I136" s="20" t="b">
        <f>OR(ISERROR(FIND("[",Table_NamedRanges[[#This Row],[Reference Text]],1))=FALSE,ISERROR(FIND("]",Table_NamedRanges[[#This Row],[Reference Text]],1))=FALSE)</f>
        <v>0</v>
      </c>
      <c r="J136" s="20">
        <f>(LEN(Table_NamedRanges[[#This Row],[Reference Text]])-LEN(SUBSTITUTE(Table_NamedRanges[[#This Row],[Reference Text]],",","")))/LEN(",")</f>
        <v>0</v>
      </c>
      <c r="K136" s="20" t="str">
        <f>IF(Table_NamedRanges[[#This Row],[Starts with '']]=FALSE,"Other",IF(AND(Table_NamedRanges[[#This Row],[Count of Colon ":"]]=0,Table_NamedRanges[[#This Row],[Count of ","]]=0),"Single Cell",IF(Table_NamedRanges[[#This Row],[Count of Colon ":"]]=1,"Single Range", "Multiple (Cell or Range)")))</f>
        <v>Single Cell</v>
      </c>
    </row>
    <row r="137" spans="2:11" x14ac:dyDescent="0.25">
      <c r="B137" s="6" t="s">
        <v>528</v>
      </c>
      <c r="C137" s="8" t="s">
        <v>938</v>
      </c>
      <c r="D137" s="18">
        <f ca="1">IFERROR(INDIRECT(Table_NamedRanges[[#This Row],[Named Range Paste]]),"Undefined/Error")</f>
        <v>0</v>
      </c>
      <c r="E137" s="18" t="str">
        <f>Table_NamedRanges[[#This Row],[Reference Paste]]</f>
        <v>='Travel Expense Summary'!$M$31</v>
      </c>
      <c r="F137" s="18" t="b">
        <f ca="1">ISERROR(VLOOKUP(Table_NamedRanges[[#This Row],[Named Range Paste]],OFFSET(INDEX(Table_ErrorList[],1,1),0,MATCH(Table_ErrorList[[#Headers],[Attention To Named Range]],Table_ErrorList[#Headers],0)-1,ROWS(Table_ErrorList[]),1),1,FALSE))=FALSE</f>
        <v>1</v>
      </c>
      <c r="G137" s="20" t="b">
        <f>MID(Table_NamedRanges[[#This Row],[Reference Text]],2,1)="'"</f>
        <v>1</v>
      </c>
      <c r="H137" s="20">
        <f>(LEN(Table_NamedRanges[[#This Row],[Reference Text]])-LEN(SUBSTITUTE(Table_NamedRanges[[#This Row],[Reference Text]],":","")))/LEN(":")</f>
        <v>0</v>
      </c>
      <c r="I137" s="20" t="b">
        <f>OR(ISERROR(FIND("[",Table_NamedRanges[[#This Row],[Reference Text]],1))=FALSE,ISERROR(FIND("]",Table_NamedRanges[[#This Row],[Reference Text]],1))=FALSE)</f>
        <v>0</v>
      </c>
      <c r="J137" s="20">
        <f>(LEN(Table_NamedRanges[[#This Row],[Reference Text]])-LEN(SUBSTITUTE(Table_NamedRanges[[#This Row],[Reference Text]],",","")))/LEN(",")</f>
        <v>0</v>
      </c>
      <c r="K137" s="20" t="str">
        <f>IF(Table_NamedRanges[[#This Row],[Starts with '']]=FALSE,"Other",IF(AND(Table_NamedRanges[[#This Row],[Count of Colon ":"]]=0,Table_NamedRanges[[#This Row],[Count of ","]]=0),"Single Cell",IF(Table_NamedRanges[[#This Row],[Count of Colon ":"]]=1,"Single Range", "Multiple (Cell or Range)")))</f>
        <v>Single Cell</v>
      </c>
    </row>
    <row r="138" spans="2:11" x14ac:dyDescent="0.25">
      <c r="B138" s="6" t="s">
        <v>551</v>
      </c>
      <c r="C138" s="8" t="s">
        <v>939</v>
      </c>
      <c r="D138" s="18">
        <f ca="1">IFERROR(INDIRECT(Table_NamedRanges[[#This Row],[Named Range Paste]]),"Undefined/Error")</f>
        <v>0</v>
      </c>
      <c r="E138" s="18" t="str">
        <f>Table_NamedRanges[[#This Row],[Reference Paste]]</f>
        <v>='Travel Expense Summary'!$M$32</v>
      </c>
      <c r="F138" s="18" t="b">
        <f ca="1">ISERROR(VLOOKUP(Table_NamedRanges[[#This Row],[Named Range Paste]],OFFSET(INDEX(Table_ErrorList[],1,1),0,MATCH(Table_ErrorList[[#Headers],[Attention To Named Range]],Table_ErrorList[#Headers],0)-1,ROWS(Table_ErrorList[]),1),1,FALSE))=FALSE</f>
        <v>1</v>
      </c>
      <c r="G138" s="20" t="b">
        <f>MID(Table_NamedRanges[[#This Row],[Reference Text]],2,1)="'"</f>
        <v>1</v>
      </c>
      <c r="H138" s="20">
        <f>(LEN(Table_NamedRanges[[#This Row],[Reference Text]])-LEN(SUBSTITUTE(Table_NamedRanges[[#This Row],[Reference Text]],":","")))/LEN(":")</f>
        <v>0</v>
      </c>
      <c r="I138" s="20" t="b">
        <f>OR(ISERROR(FIND("[",Table_NamedRanges[[#This Row],[Reference Text]],1))=FALSE,ISERROR(FIND("]",Table_NamedRanges[[#This Row],[Reference Text]],1))=FALSE)</f>
        <v>0</v>
      </c>
      <c r="J138" s="20">
        <f>(LEN(Table_NamedRanges[[#This Row],[Reference Text]])-LEN(SUBSTITUTE(Table_NamedRanges[[#This Row],[Reference Text]],",","")))/LEN(",")</f>
        <v>0</v>
      </c>
      <c r="K138" s="20" t="str">
        <f>IF(Table_NamedRanges[[#This Row],[Starts with '']]=FALSE,"Other",IF(AND(Table_NamedRanges[[#This Row],[Count of Colon ":"]]=0,Table_NamedRanges[[#This Row],[Count of ","]]=0),"Single Cell",IF(Table_NamedRanges[[#This Row],[Count of Colon ":"]]=1,"Single Range", "Multiple (Cell or Range)")))</f>
        <v>Single Cell</v>
      </c>
    </row>
    <row r="139" spans="2:11" x14ac:dyDescent="0.25">
      <c r="B139" s="6" t="s">
        <v>574</v>
      </c>
      <c r="C139" s="8" t="s">
        <v>940</v>
      </c>
      <c r="D139" s="18">
        <f ca="1">IFERROR(INDIRECT(Table_NamedRanges[[#This Row],[Named Range Paste]]),"Undefined/Error")</f>
        <v>0</v>
      </c>
      <c r="E139" s="18" t="str">
        <f>Table_NamedRanges[[#This Row],[Reference Paste]]</f>
        <v>='Travel Expense Summary'!$M$33</v>
      </c>
      <c r="F139" s="18" t="b">
        <f ca="1">ISERROR(VLOOKUP(Table_NamedRanges[[#This Row],[Named Range Paste]],OFFSET(INDEX(Table_ErrorList[],1,1),0,MATCH(Table_ErrorList[[#Headers],[Attention To Named Range]],Table_ErrorList[#Headers],0)-1,ROWS(Table_ErrorList[]),1),1,FALSE))=FALSE</f>
        <v>1</v>
      </c>
      <c r="G139" s="20" t="b">
        <f>MID(Table_NamedRanges[[#This Row],[Reference Text]],2,1)="'"</f>
        <v>1</v>
      </c>
      <c r="H139" s="20">
        <f>(LEN(Table_NamedRanges[[#This Row],[Reference Text]])-LEN(SUBSTITUTE(Table_NamedRanges[[#This Row],[Reference Text]],":","")))/LEN(":")</f>
        <v>0</v>
      </c>
      <c r="I139" s="20" t="b">
        <f>OR(ISERROR(FIND("[",Table_NamedRanges[[#This Row],[Reference Text]],1))=FALSE,ISERROR(FIND("]",Table_NamedRanges[[#This Row],[Reference Text]],1))=FALSE)</f>
        <v>0</v>
      </c>
      <c r="J139" s="20">
        <f>(LEN(Table_NamedRanges[[#This Row],[Reference Text]])-LEN(SUBSTITUTE(Table_NamedRanges[[#This Row],[Reference Text]],",","")))/LEN(",")</f>
        <v>0</v>
      </c>
      <c r="K139" s="20" t="str">
        <f>IF(Table_NamedRanges[[#This Row],[Starts with '']]=FALSE,"Other",IF(AND(Table_NamedRanges[[#This Row],[Count of Colon ":"]]=0,Table_NamedRanges[[#This Row],[Count of ","]]=0),"Single Cell",IF(Table_NamedRanges[[#This Row],[Count of Colon ":"]]=1,"Single Range", "Multiple (Cell or Range)")))</f>
        <v>Single Cell</v>
      </c>
    </row>
    <row r="140" spans="2:11" x14ac:dyDescent="0.25">
      <c r="B140" s="6" t="s">
        <v>597</v>
      </c>
      <c r="C140" s="8" t="s">
        <v>941</v>
      </c>
      <c r="D140" s="18">
        <f ca="1">IFERROR(INDIRECT(Table_NamedRanges[[#This Row],[Named Range Paste]]),"Undefined/Error")</f>
        <v>0</v>
      </c>
      <c r="E140" s="18" t="str">
        <f>Table_NamedRanges[[#This Row],[Reference Paste]]</f>
        <v>='Travel Expense Summary'!$M$34</v>
      </c>
      <c r="F140" s="18" t="b">
        <f ca="1">ISERROR(VLOOKUP(Table_NamedRanges[[#This Row],[Named Range Paste]],OFFSET(INDEX(Table_ErrorList[],1,1),0,MATCH(Table_ErrorList[[#Headers],[Attention To Named Range]],Table_ErrorList[#Headers],0)-1,ROWS(Table_ErrorList[]),1),1,FALSE))=FALSE</f>
        <v>1</v>
      </c>
      <c r="G140" s="20" t="b">
        <f>MID(Table_NamedRanges[[#This Row],[Reference Text]],2,1)="'"</f>
        <v>1</v>
      </c>
      <c r="H140" s="20">
        <f>(LEN(Table_NamedRanges[[#This Row],[Reference Text]])-LEN(SUBSTITUTE(Table_NamedRanges[[#This Row],[Reference Text]],":","")))/LEN(":")</f>
        <v>0</v>
      </c>
      <c r="I140" s="20" t="b">
        <f>OR(ISERROR(FIND("[",Table_NamedRanges[[#This Row],[Reference Text]],1))=FALSE,ISERROR(FIND("]",Table_NamedRanges[[#This Row],[Reference Text]],1))=FALSE)</f>
        <v>0</v>
      </c>
      <c r="J140" s="20">
        <f>(LEN(Table_NamedRanges[[#This Row],[Reference Text]])-LEN(SUBSTITUTE(Table_NamedRanges[[#This Row],[Reference Text]],",","")))/LEN(",")</f>
        <v>0</v>
      </c>
      <c r="K140" s="20" t="str">
        <f>IF(Table_NamedRanges[[#This Row],[Starts with '']]=FALSE,"Other",IF(AND(Table_NamedRanges[[#This Row],[Count of Colon ":"]]=0,Table_NamedRanges[[#This Row],[Count of ","]]=0),"Single Cell",IF(Table_NamedRanges[[#This Row],[Count of Colon ":"]]=1,"Single Range", "Multiple (Cell or Range)")))</f>
        <v>Single Cell</v>
      </c>
    </row>
    <row r="141" spans="2:11" x14ac:dyDescent="0.25">
      <c r="B141" s="6" t="s">
        <v>620</v>
      </c>
      <c r="C141" s="8" t="s">
        <v>942</v>
      </c>
      <c r="D141" s="18">
        <f ca="1">IFERROR(INDIRECT(Table_NamedRanges[[#This Row],[Named Range Paste]]),"Undefined/Error")</f>
        <v>0</v>
      </c>
      <c r="E141" s="18" t="str">
        <f>Table_NamedRanges[[#This Row],[Reference Paste]]</f>
        <v>='Travel Expense Summary'!$M$35</v>
      </c>
      <c r="F141" s="18" t="b">
        <f ca="1">ISERROR(VLOOKUP(Table_NamedRanges[[#This Row],[Named Range Paste]],OFFSET(INDEX(Table_ErrorList[],1,1),0,MATCH(Table_ErrorList[[#Headers],[Attention To Named Range]],Table_ErrorList[#Headers],0)-1,ROWS(Table_ErrorList[]),1),1,FALSE))=FALSE</f>
        <v>1</v>
      </c>
      <c r="G141" s="20" t="b">
        <f>MID(Table_NamedRanges[[#This Row],[Reference Text]],2,1)="'"</f>
        <v>1</v>
      </c>
      <c r="H141" s="20">
        <f>(LEN(Table_NamedRanges[[#This Row],[Reference Text]])-LEN(SUBSTITUTE(Table_NamedRanges[[#This Row],[Reference Text]],":","")))/LEN(":")</f>
        <v>0</v>
      </c>
      <c r="I141" s="20" t="b">
        <f>OR(ISERROR(FIND("[",Table_NamedRanges[[#This Row],[Reference Text]],1))=FALSE,ISERROR(FIND("]",Table_NamedRanges[[#This Row],[Reference Text]],1))=FALSE)</f>
        <v>0</v>
      </c>
      <c r="J141" s="20">
        <f>(LEN(Table_NamedRanges[[#This Row],[Reference Text]])-LEN(SUBSTITUTE(Table_NamedRanges[[#This Row],[Reference Text]],",","")))/LEN(",")</f>
        <v>0</v>
      </c>
      <c r="K141" s="20" t="str">
        <f>IF(Table_NamedRanges[[#This Row],[Starts with '']]=FALSE,"Other",IF(AND(Table_NamedRanges[[#This Row],[Count of Colon ":"]]=0,Table_NamedRanges[[#This Row],[Count of ","]]=0),"Single Cell",IF(Table_NamedRanges[[#This Row],[Count of Colon ":"]]=1,"Single Range", "Multiple (Cell or Range)")))</f>
        <v>Single Cell</v>
      </c>
    </row>
    <row r="142" spans="2:11" x14ac:dyDescent="0.25">
      <c r="B142" s="6" t="s">
        <v>643</v>
      </c>
      <c r="C142" s="8" t="s">
        <v>943</v>
      </c>
      <c r="D142" s="18">
        <f ca="1">IFERROR(INDIRECT(Table_NamedRanges[[#This Row],[Named Range Paste]]),"Undefined/Error")</f>
        <v>0</v>
      </c>
      <c r="E142" s="18" t="str">
        <f>Table_NamedRanges[[#This Row],[Reference Paste]]</f>
        <v>='Travel Expense Summary'!$M$36</v>
      </c>
      <c r="F142" s="18" t="b">
        <f ca="1">ISERROR(VLOOKUP(Table_NamedRanges[[#This Row],[Named Range Paste]],OFFSET(INDEX(Table_ErrorList[],1,1),0,MATCH(Table_ErrorList[[#Headers],[Attention To Named Range]],Table_ErrorList[#Headers],0)-1,ROWS(Table_ErrorList[]),1),1,FALSE))=FALSE</f>
        <v>1</v>
      </c>
      <c r="G142" s="20" t="b">
        <f>MID(Table_NamedRanges[[#This Row],[Reference Text]],2,1)="'"</f>
        <v>1</v>
      </c>
      <c r="H142" s="20">
        <f>(LEN(Table_NamedRanges[[#This Row],[Reference Text]])-LEN(SUBSTITUTE(Table_NamedRanges[[#This Row],[Reference Text]],":","")))/LEN(":")</f>
        <v>0</v>
      </c>
      <c r="I142" s="20" t="b">
        <f>OR(ISERROR(FIND("[",Table_NamedRanges[[#This Row],[Reference Text]],1))=FALSE,ISERROR(FIND("]",Table_NamedRanges[[#This Row],[Reference Text]],1))=FALSE)</f>
        <v>0</v>
      </c>
      <c r="J142" s="20">
        <f>(LEN(Table_NamedRanges[[#This Row],[Reference Text]])-LEN(SUBSTITUTE(Table_NamedRanges[[#This Row],[Reference Text]],",","")))/LEN(",")</f>
        <v>0</v>
      </c>
      <c r="K142" s="20" t="str">
        <f>IF(Table_NamedRanges[[#This Row],[Starts with '']]=FALSE,"Other",IF(AND(Table_NamedRanges[[#This Row],[Count of Colon ":"]]=0,Table_NamedRanges[[#This Row],[Count of ","]]=0),"Single Cell",IF(Table_NamedRanges[[#This Row],[Count of Colon ":"]]=1,"Single Range", "Multiple (Cell or Range)")))</f>
        <v>Single Cell</v>
      </c>
    </row>
    <row r="143" spans="2:11" x14ac:dyDescent="0.25">
      <c r="B143" s="6" t="s">
        <v>666</v>
      </c>
      <c r="C143" s="8" t="s">
        <v>944</v>
      </c>
      <c r="D143" s="18">
        <f ca="1">IFERROR(INDIRECT(Table_NamedRanges[[#This Row],[Named Range Paste]]),"Undefined/Error")</f>
        <v>0</v>
      </c>
      <c r="E143" s="18" t="str">
        <f>Table_NamedRanges[[#This Row],[Reference Paste]]</f>
        <v>='Travel Expense Summary'!$M$37</v>
      </c>
      <c r="F143" s="18" t="b">
        <f ca="1">ISERROR(VLOOKUP(Table_NamedRanges[[#This Row],[Named Range Paste]],OFFSET(INDEX(Table_ErrorList[],1,1),0,MATCH(Table_ErrorList[[#Headers],[Attention To Named Range]],Table_ErrorList[#Headers],0)-1,ROWS(Table_ErrorList[]),1),1,FALSE))=FALSE</f>
        <v>1</v>
      </c>
      <c r="G143" s="20" t="b">
        <f>MID(Table_NamedRanges[[#This Row],[Reference Text]],2,1)="'"</f>
        <v>1</v>
      </c>
      <c r="H143" s="20">
        <f>(LEN(Table_NamedRanges[[#This Row],[Reference Text]])-LEN(SUBSTITUTE(Table_NamedRanges[[#This Row],[Reference Text]],":","")))/LEN(":")</f>
        <v>0</v>
      </c>
      <c r="I143" s="20" t="b">
        <f>OR(ISERROR(FIND("[",Table_NamedRanges[[#This Row],[Reference Text]],1))=FALSE,ISERROR(FIND("]",Table_NamedRanges[[#This Row],[Reference Text]],1))=FALSE)</f>
        <v>0</v>
      </c>
      <c r="J143" s="20">
        <f>(LEN(Table_NamedRanges[[#This Row],[Reference Text]])-LEN(SUBSTITUTE(Table_NamedRanges[[#This Row],[Reference Text]],",","")))/LEN(",")</f>
        <v>0</v>
      </c>
      <c r="K143" s="20" t="str">
        <f>IF(Table_NamedRanges[[#This Row],[Starts with '']]=FALSE,"Other",IF(AND(Table_NamedRanges[[#This Row],[Count of Colon ":"]]=0,Table_NamedRanges[[#This Row],[Count of ","]]=0),"Single Cell",IF(Table_NamedRanges[[#This Row],[Count of Colon ":"]]=1,"Single Range", "Multiple (Cell or Range)")))</f>
        <v>Single Cell</v>
      </c>
    </row>
    <row r="144" spans="2:11" x14ac:dyDescent="0.25">
      <c r="B144" s="6" t="s">
        <v>418</v>
      </c>
      <c r="C144" s="8" t="s">
        <v>945</v>
      </c>
      <c r="D144" s="18" t="str">
        <f ca="1">IFERROR(INDIRECT(Table_NamedRanges[[#This Row],[Named Range Paste]]),"Undefined/Error")</f>
        <v>Trans-Max Mileage</v>
      </c>
      <c r="E144" s="18" t="str">
        <f>Table_NamedRanges[[#This Row],[Reference Paste]]</f>
        <v>='Travel Expense Summary'!$K$27</v>
      </c>
      <c r="F144" s="18" t="b">
        <f ca="1">ISERROR(VLOOKUP(Table_NamedRanges[[#This Row],[Named Range Paste]],OFFSET(INDEX(Table_ErrorList[],1,1),0,MATCH(Table_ErrorList[[#Headers],[Attention To Named Range]],Table_ErrorList[#Headers],0)-1,ROWS(Table_ErrorList[]),1),1,FALSE))=FALSE</f>
        <v>1</v>
      </c>
      <c r="G144" s="20" t="b">
        <f>MID(Table_NamedRanges[[#This Row],[Reference Text]],2,1)="'"</f>
        <v>1</v>
      </c>
      <c r="H144" s="20">
        <f>(LEN(Table_NamedRanges[[#This Row],[Reference Text]])-LEN(SUBSTITUTE(Table_NamedRanges[[#This Row],[Reference Text]],":","")))/LEN(":")</f>
        <v>0</v>
      </c>
      <c r="I144" s="20" t="b">
        <f>OR(ISERROR(FIND("[",Table_NamedRanges[[#This Row],[Reference Text]],1))=FALSE,ISERROR(FIND("]",Table_NamedRanges[[#This Row],[Reference Text]],1))=FALSE)</f>
        <v>0</v>
      </c>
      <c r="J144" s="20">
        <f>(LEN(Table_NamedRanges[[#This Row],[Reference Text]])-LEN(SUBSTITUTE(Table_NamedRanges[[#This Row],[Reference Text]],",","")))/LEN(",")</f>
        <v>0</v>
      </c>
      <c r="K144" s="20" t="str">
        <f>IF(Table_NamedRanges[[#This Row],[Starts with '']]=FALSE,"Other",IF(AND(Table_NamedRanges[[#This Row],[Count of Colon ":"]]=0,Table_NamedRanges[[#This Row],[Count of ","]]=0),"Single Cell",IF(Table_NamedRanges[[#This Row],[Count of Colon ":"]]=1,"Single Range", "Multiple (Cell or Range)")))</f>
        <v>Single Cell</v>
      </c>
    </row>
    <row r="145" spans="2:11" x14ac:dyDescent="0.25">
      <c r="B145" s="6" t="s">
        <v>453</v>
      </c>
      <c r="C145" s="8" t="s">
        <v>946</v>
      </c>
      <c r="D145" s="18" t="str">
        <f ca="1">IFERROR(INDIRECT(Table_NamedRanges[[#This Row],[Named Range Paste]]),"Undefined/Error")</f>
        <v>Accomm-Hotel/Motel</v>
      </c>
      <c r="E145" s="18" t="str">
        <f>Table_NamedRanges[[#This Row],[Reference Paste]]</f>
        <v>='Travel Expense Summary'!$K$28</v>
      </c>
      <c r="F145" s="18" t="b">
        <f ca="1">ISERROR(VLOOKUP(Table_NamedRanges[[#This Row],[Named Range Paste]],OFFSET(INDEX(Table_ErrorList[],1,1),0,MATCH(Table_ErrorList[[#Headers],[Attention To Named Range]],Table_ErrorList[#Headers],0)-1,ROWS(Table_ErrorList[]),1),1,FALSE))=FALSE</f>
        <v>1</v>
      </c>
      <c r="G145" s="20" t="b">
        <f>MID(Table_NamedRanges[[#This Row],[Reference Text]],2,1)="'"</f>
        <v>1</v>
      </c>
      <c r="H145" s="20">
        <f>(LEN(Table_NamedRanges[[#This Row],[Reference Text]])-LEN(SUBSTITUTE(Table_NamedRanges[[#This Row],[Reference Text]],":","")))/LEN(":")</f>
        <v>0</v>
      </c>
      <c r="I145" s="20" t="b">
        <f>OR(ISERROR(FIND("[",Table_NamedRanges[[#This Row],[Reference Text]],1))=FALSE,ISERROR(FIND("]",Table_NamedRanges[[#This Row],[Reference Text]],1))=FALSE)</f>
        <v>0</v>
      </c>
      <c r="J145" s="20">
        <f>(LEN(Table_NamedRanges[[#This Row],[Reference Text]])-LEN(SUBSTITUTE(Table_NamedRanges[[#This Row],[Reference Text]],",","")))/LEN(",")</f>
        <v>0</v>
      </c>
      <c r="K145" s="20" t="str">
        <f>IF(Table_NamedRanges[[#This Row],[Starts with '']]=FALSE,"Other",IF(AND(Table_NamedRanges[[#This Row],[Count of Colon ":"]]=0,Table_NamedRanges[[#This Row],[Count of ","]]=0),"Single Cell",IF(Table_NamedRanges[[#This Row],[Count of Colon ":"]]=1,"Single Range", "Multiple (Cell or Range)")))</f>
        <v>Single Cell</v>
      </c>
    </row>
    <row r="146" spans="2:11" x14ac:dyDescent="0.25">
      <c r="B146" s="6" t="s">
        <v>478</v>
      </c>
      <c r="C146" s="8" t="s">
        <v>947</v>
      </c>
      <c r="D146" s="18" t="str">
        <f ca="1">IFERROR(INDIRECT(Table_NamedRanges[[#This Row],[Named Range Paste]]),"Undefined/Error")</f>
        <v>Trans-Mileage</v>
      </c>
      <c r="E146" s="18" t="str">
        <f>Table_NamedRanges[[#This Row],[Reference Paste]]</f>
        <v>='Travel Expense Summary'!$K$29</v>
      </c>
      <c r="F146" s="18" t="b">
        <f ca="1">ISERROR(VLOOKUP(Table_NamedRanges[[#This Row],[Named Range Paste]],OFFSET(INDEX(Table_ErrorList[],1,1),0,MATCH(Table_ErrorList[[#Headers],[Attention To Named Range]],Table_ErrorList[#Headers],0)-1,ROWS(Table_ErrorList[]),1),1,FALSE))=FALSE</f>
        <v>1</v>
      </c>
      <c r="G146" s="20" t="b">
        <f>MID(Table_NamedRanges[[#This Row],[Reference Text]],2,1)="'"</f>
        <v>1</v>
      </c>
      <c r="H146" s="20">
        <f>(LEN(Table_NamedRanges[[#This Row],[Reference Text]])-LEN(SUBSTITUTE(Table_NamedRanges[[#This Row],[Reference Text]],":","")))/LEN(":")</f>
        <v>0</v>
      </c>
      <c r="I146" s="20" t="b">
        <f>OR(ISERROR(FIND("[",Table_NamedRanges[[#This Row],[Reference Text]],1))=FALSE,ISERROR(FIND("]",Table_NamedRanges[[#This Row],[Reference Text]],1))=FALSE)</f>
        <v>0</v>
      </c>
      <c r="J146" s="20">
        <f>(LEN(Table_NamedRanges[[#This Row],[Reference Text]])-LEN(SUBSTITUTE(Table_NamedRanges[[#This Row],[Reference Text]],",","")))/LEN(",")</f>
        <v>0</v>
      </c>
      <c r="K146" s="20" t="str">
        <f>IF(Table_NamedRanges[[#This Row],[Starts with '']]=FALSE,"Other",IF(AND(Table_NamedRanges[[#This Row],[Count of Colon ":"]]=0,Table_NamedRanges[[#This Row],[Count of ","]]=0),"Single Cell",IF(Table_NamedRanges[[#This Row],[Count of Colon ":"]]=1,"Single Range", "Multiple (Cell or Range)")))</f>
        <v>Single Cell</v>
      </c>
    </row>
    <row r="147" spans="2:11" x14ac:dyDescent="0.25">
      <c r="B147" s="6" t="s">
        <v>501</v>
      </c>
      <c r="C147" s="8" t="s">
        <v>948</v>
      </c>
      <c r="D147" s="18" t="str">
        <f ca="1">IFERROR(INDIRECT(Table_NamedRanges[[#This Row],[Named Range Paste]]),"Undefined/Error")</f>
        <v>Accomm-Hotel/Motel</v>
      </c>
      <c r="E147" s="18" t="str">
        <f>Table_NamedRanges[[#This Row],[Reference Paste]]</f>
        <v>='Travel Expense Summary'!$K$30</v>
      </c>
      <c r="F147" s="18" t="b">
        <f ca="1">ISERROR(VLOOKUP(Table_NamedRanges[[#This Row],[Named Range Paste]],OFFSET(INDEX(Table_ErrorList[],1,1),0,MATCH(Table_ErrorList[[#Headers],[Attention To Named Range]],Table_ErrorList[#Headers],0)-1,ROWS(Table_ErrorList[]),1),1,FALSE))=FALSE</f>
        <v>1</v>
      </c>
      <c r="G147" s="20" t="b">
        <f>MID(Table_NamedRanges[[#This Row],[Reference Text]],2,1)="'"</f>
        <v>1</v>
      </c>
      <c r="H147" s="20">
        <f>(LEN(Table_NamedRanges[[#This Row],[Reference Text]])-LEN(SUBSTITUTE(Table_NamedRanges[[#This Row],[Reference Text]],":","")))/LEN(":")</f>
        <v>0</v>
      </c>
      <c r="I147" s="20" t="b">
        <f>OR(ISERROR(FIND("[",Table_NamedRanges[[#This Row],[Reference Text]],1))=FALSE,ISERROR(FIND("]",Table_NamedRanges[[#This Row],[Reference Text]],1))=FALSE)</f>
        <v>0</v>
      </c>
      <c r="J147" s="20">
        <f>(LEN(Table_NamedRanges[[#This Row],[Reference Text]])-LEN(SUBSTITUTE(Table_NamedRanges[[#This Row],[Reference Text]],",","")))/LEN(",")</f>
        <v>0</v>
      </c>
      <c r="K147" s="20" t="str">
        <f>IF(Table_NamedRanges[[#This Row],[Starts with '']]=FALSE,"Other",IF(AND(Table_NamedRanges[[#This Row],[Count of Colon ":"]]=0,Table_NamedRanges[[#This Row],[Count of ","]]=0),"Single Cell",IF(Table_NamedRanges[[#This Row],[Count of Colon ":"]]=1,"Single Range", "Multiple (Cell or Range)")))</f>
        <v>Single Cell</v>
      </c>
    </row>
    <row r="148" spans="2:11" x14ac:dyDescent="0.25">
      <c r="B148" s="6" t="s">
        <v>524</v>
      </c>
      <c r="C148" s="8" t="s">
        <v>949</v>
      </c>
      <c r="D148" s="18">
        <f ca="1">IFERROR(INDIRECT(Table_NamedRanges[[#This Row],[Named Range Paste]]),"Undefined/Error")</f>
        <v>0</v>
      </c>
      <c r="E148" s="18" t="str">
        <f>Table_NamedRanges[[#This Row],[Reference Paste]]</f>
        <v>='Travel Expense Summary'!$K$31</v>
      </c>
      <c r="F148" s="18" t="b">
        <f ca="1">ISERROR(VLOOKUP(Table_NamedRanges[[#This Row],[Named Range Paste]],OFFSET(INDEX(Table_ErrorList[],1,1),0,MATCH(Table_ErrorList[[#Headers],[Attention To Named Range]],Table_ErrorList[#Headers],0)-1,ROWS(Table_ErrorList[]),1),1,FALSE))=FALSE</f>
        <v>1</v>
      </c>
      <c r="G148" s="20" t="b">
        <f>MID(Table_NamedRanges[[#This Row],[Reference Text]],2,1)="'"</f>
        <v>1</v>
      </c>
      <c r="H148" s="20">
        <f>(LEN(Table_NamedRanges[[#This Row],[Reference Text]])-LEN(SUBSTITUTE(Table_NamedRanges[[#This Row],[Reference Text]],":","")))/LEN(":")</f>
        <v>0</v>
      </c>
      <c r="I148" s="20" t="b">
        <f>OR(ISERROR(FIND("[",Table_NamedRanges[[#This Row],[Reference Text]],1))=FALSE,ISERROR(FIND("]",Table_NamedRanges[[#This Row],[Reference Text]],1))=FALSE)</f>
        <v>0</v>
      </c>
      <c r="J148" s="20">
        <f>(LEN(Table_NamedRanges[[#This Row],[Reference Text]])-LEN(SUBSTITUTE(Table_NamedRanges[[#This Row],[Reference Text]],",","")))/LEN(",")</f>
        <v>0</v>
      </c>
      <c r="K148" s="20" t="str">
        <f>IF(Table_NamedRanges[[#This Row],[Starts with '']]=FALSE,"Other",IF(AND(Table_NamedRanges[[#This Row],[Count of Colon ":"]]=0,Table_NamedRanges[[#This Row],[Count of ","]]=0),"Single Cell",IF(Table_NamedRanges[[#This Row],[Count of Colon ":"]]=1,"Single Range", "Multiple (Cell or Range)")))</f>
        <v>Single Cell</v>
      </c>
    </row>
    <row r="149" spans="2:11" x14ac:dyDescent="0.25">
      <c r="B149" s="6" t="s">
        <v>547</v>
      </c>
      <c r="C149" s="8" t="s">
        <v>950</v>
      </c>
      <c r="D149" s="18">
        <f ca="1">IFERROR(INDIRECT(Table_NamedRanges[[#This Row],[Named Range Paste]]),"Undefined/Error")</f>
        <v>0</v>
      </c>
      <c r="E149" s="18" t="str">
        <f>Table_NamedRanges[[#This Row],[Reference Paste]]</f>
        <v>='Travel Expense Summary'!$K$32</v>
      </c>
      <c r="F149" s="18" t="b">
        <f ca="1">ISERROR(VLOOKUP(Table_NamedRanges[[#This Row],[Named Range Paste]],OFFSET(INDEX(Table_ErrorList[],1,1),0,MATCH(Table_ErrorList[[#Headers],[Attention To Named Range]],Table_ErrorList[#Headers],0)-1,ROWS(Table_ErrorList[]),1),1,FALSE))=FALSE</f>
        <v>1</v>
      </c>
      <c r="G149" s="20" t="b">
        <f>MID(Table_NamedRanges[[#This Row],[Reference Text]],2,1)="'"</f>
        <v>1</v>
      </c>
      <c r="H149" s="20">
        <f>(LEN(Table_NamedRanges[[#This Row],[Reference Text]])-LEN(SUBSTITUTE(Table_NamedRanges[[#This Row],[Reference Text]],":","")))/LEN(":")</f>
        <v>0</v>
      </c>
      <c r="I149" s="20" t="b">
        <f>OR(ISERROR(FIND("[",Table_NamedRanges[[#This Row],[Reference Text]],1))=FALSE,ISERROR(FIND("]",Table_NamedRanges[[#This Row],[Reference Text]],1))=FALSE)</f>
        <v>0</v>
      </c>
      <c r="J149" s="20">
        <f>(LEN(Table_NamedRanges[[#This Row],[Reference Text]])-LEN(SUBSTITUTE(Table_NamedRanges[[#This Row],[Reference Text]],",","")))/LEN(",")</f>
        <v>0</v>
      </c>
      <c r="K149" s="20" t="str">
        <f>IF(Table_NamedRanges[[#This Row],[Starts with '']]=FALSE,"Other",IF(AND(Table_NamedRanges[[#This Row],[Count of Colon ":"]]=0,Table_NamedRanges[[#This Row],[Count of ","]]=0),"Single Cell",IF(Table_NamedRanges[[#This Row],[Count of Colon ":"]]=1,"Single Range", "Multiple (Cell or Range)")))</f>
        <v>Single Cell</v>
      </c>
    </row>
    <row r="150" spans="2:11" x14ac:dyDescent="0.25">
      <c r="B150" s="6" t="s">
        <v>570</v>
      </c>
      <c r="C150" s="8" t="s">
        <v>951</v>
      </c>
      <c r="D150" s="18">
        <f ca="1">IFERROR(INDIRECT(Table_NamedRanges[[#This Row],[Named Range Paste]]),"Undefined/Error")</f>
        <v>0</v>
      </c>
      <c r="E150" s="18" t="str">
        <f>Table_NamedRanges[[#This Row],[Reference Paste]]</f>
        <v>='Travel Expense Summary'!$K$33</v>
      </c>
      <c r="F150" s="18" t="b">
        <f ca="1">ISERROR(VLOOKUP(Table_NamedRanges[[#This Row],[Named Range Paste]],OFFSET(INDEX(Table_ErrorList[],1,1),0,MATCH(Table_ErrorList[[#Headers],[Attention To Named Range]],Table_ErrorList[#Headers],0)-1,ROWS(Table_ErrorList[]),1),1,FALSE))=FALSE</f>
        <v>1</v>
      </c>
      <c r="G150" s="20" t="b">
        <f>MID(Table_NamedRanges[[#This Row],[Reference Text]],2,1)="'"</f>
        <v>1</v>
      </c>
      <c r="H150" s="20">
        <f>(LEN(Table_NamedRanges[[#This Row],[Reference Text]])-LEN(SUBSTITUTE(Table_NamedRanges[[#This Row],[Reference Text]],":","")))/LEN(":")</f>
        <v>0</v>
      </c>
      <c r="I150" s="20" t="b">
        <f>OR(ISERROR(FIND("[",Table_NamedRanges[[#This Row],[Reference Text]],1))=FALSE,ISERROR(FIND("]",Table_NamedRanges[[#This Row],[Reference Text]],1))=FALSE)</f>
        <v>0</v>
      </c>
      <c r="J150" s="20">
        <f>(LEN(Table_NamedRanges[[#This Row],[Reference Text]])-LEN(SUBSTITUTE(Table_NamedRanges[[#This Row],[Reference Text]],",","")))/LEN(",")</f>
        <v>0</v>
      </c>
      <c r="K150" s="20" t="str">
        <f>IF(Table_NamedRanges[[#This Row],[Starts with '']]=FALSE,"Other",IF(AND(Table_NamedRanges[[#This Row],[Count of Colon ":"]]=0,Table_NamedRanges[[#This Row],[Count of ","]]=0),"Single Cell",IF(Table_NamedRanges[[#This Row],[Count of Colon ":"]]=1,"Single Range", "Multiple (Cell or Range)")))</f>
        <v>Single Cell</v>
      </c>
    </row>
    <row r="151" spans="2:11" x14ac:dyDescent="0.25">
      <c r="B151" s="6" t="s">
        <v>593</v>
      </c>
      <c r="C151" s="8" t="s">
        <v>952</v>
      </c>
      <c r="D151" s="18">
        <f ca="1">IFERROR(INDIRECT(Table_NamedRanges[[#This Row],[Named Range Paste]]),"Undefined/Error")</f>
        <v>0</v>
      </c>
      <c r="E151" s="18" t="str">
        <f>Table_NamedRanges[[#This Row],[Reference Paste]]</f>
        <v>='Travel Expense Summary'!$K$34</v>
      </c>
      <c r="F151" s="18" t="b">
        <f ca="1">ISERROR(VLOOKUP(Table_NamedRanges[[#This Row],[Named Range Paste]],OFFSET(INDEX(Table_ErrorList[],1,1),0,MATCH(Table_ErrorList[[#Headers],[Attention To Named Range]],Table_ErrorList[#Headers],0)-1,ROWS(Table_ErrorList[]),1),1,FALSE))=FALSE</f>
        <v>1</v>
      </c>
      <c r="G151" s="20" t="b">
        <f>MID(Table_NamedRanges[[#This Row],[Reference Text]],2,1)="'"</f>
        <v>1</v>
      </c>
      <c r="H151" s="20">
        <f>(LEN(Table_NamedRanges[[#This Row],[Reference Text]])-LEN(SUBSTITUTE(Table_NamedRanges[[#This Row],[Reference Text]],":","")))/LEN(":")</f>
        <v>0</v>
      </c>
      <c r="I151" s="20" t="b">
        <f>OR(ISERROR(FIND("[",Table_NamedRanges[[#This Row],[Reference Text]],1))=FALSE,ISERROR(FIND("]",Table_NamedRanges[[#This Row],[Reference Text]],1))=FALSE)</f>
        <v>0</v>
      </c>
      <c r="J151" s="20">
        <f>(LEN(Table_NamedRanges[[#This Row],[Reference Text]])-LEN(SUBSTITUTE(Table_NamedRanges[[#This Row],[Reference Text]],",","")))/LEN(",")</f>
        <v>0</v>
      </c>
      <c r="K151" s="20" t="str">
        <f>IF(Table_NamedRanges[[#This Row],[Starts with '']]=FALSE,"Other",IF(AND(Table_NamedRanges[[#This Row],[Count of Colon ":"]]=0,Table_NamedRanges[[#This Row],[Count of ","]]=0),"Single Cell",IF(Table_NamedRanges[[#This Row],[Count of Colon ":"]]=1,"Single Range", "Multiple (Cell or Range)")))</f>
        <v>Single Cell</v>
      </c>
    </row>
    <row r="152" spans="2:11" x14ac:dyDescent="0.25">
      <c r="B152" s="6" t="s">
        <v>616</v>
      </c>
      <c r="C152" s="8" t="s">
        <v>953</v>
      </c>
      <c r="D152" s="18">
        <f ca="1">IFERROR(INDIRECT(Table_NamedRanges[[#This Row],[Named Range Paste]]),"Undefined/Error")</f>
        <v>0</v>
      </c>
      <c r="E152" s="18" t="str">
        <f>Table_NamedRanges[[#This Row],[Reference Paste]]</f>
        <v>='Travel Expense Summary'!$K$35</v>
      </c>
      <c r="F152" s="18" t="b">
        <f ca="1">ISERROR(VLOOKUP(Table_NamedRanges[[#This Row],[Named Range Paste]],OFFSET(INDEX(Table_ErrorList[],1,1),0,MATCH(Table_ErrorList[[#Headers],[Attention To Named Range]],Table_ErrorList[#Headers],0)-1,ROWS(Table_ErrorList[]),1),1,FALSE))=FALSE</f>
        <v>1</v>
      </c>
      <c r="G152" s="20" t="b">
        <f>MID(Table_NamedRanges[[#This Row],[Reference Text]],2,1)="'"</f>
        <v>1</v>
      </c>
      <c r="H152" s="20">
        <f>(LEN(Table_NamedRanges[[#This Row],[Reference Text]])-LEN(SUBSTITUTE(Table_NamedRanges[[#This Row],[Reference Text]],":","")))/LEN(":")</f>
        <v>0</v>
      </c>
      <c r="I152" s="20" t="b">
        <f>OR(ISERROR(FIND("[",Table_NamedRanges[[#This Row],[Reference Text]],1))=FALSE,ISERROR(FIND("]",Table_NamedRanges[[#This Row],[Reference Text]],1))=FALSE)</f>
        <v>0</v>
      </c>
      <c r="J152" s="20">
        <f>(LEN(Table_NamedRanges[[#This Row],[Reference Text]])-LEN(SUBSTITUTE(Table_NamedRanges[[#This Row],[Reference Text]],",","")))/LEN(",")</f>
        <v>0</v>
      </c>
      <c r="K152" s="20" t="str">
        <f>IF(Table_NamedRanges[[#This Row],[Starts with '']]=FALSE,"Other",IF(AND(Table_NamedRanges[[#This Row],[Count of Colon ":"]]=0,Table_NamedRanges[[#This Row],[Count of ","]]=0),"Single Cell",IF(Table_NamedRanges[[#This Row],[Count of Colon ":"]]=1,"Single Range", "Multiple (Cell or Range)")))</f>
        <v>Single Cell</v>
      </c>
    </row>
    <row r="153" spans="2:11" x14ac:dyDescent="0.25">
      <c r="B153" s="6" t="s">
        <v>639</v>
      </c>
      <c r="C153" s="8" t="s">
        <v>954</v>
      </c>
      <c r="D153" s="18">
        <f ca="1">IFERROR(INDIRECT(Table_NamedRanges[[#This Row],[Named Range Paste]]),"Undefined/Error")</f>
        <v>0</v>
      </c>
      <c r="E153" s="18" t="str">
        <f>Table_NamedRanges[[#This Row],[Reference Paste]]</f>
        <v>='Travel Expense Summary'!$K$36</v>
      </c>
      <c r="F153" s="18" t="b">
        <f ca="1">ISERROR(VLOOKUP(Table_NamedRanges[[#This Row],[Named Range Paste]],OFFSET(INDEX(Table_ErrorList[],1,1),0,MATCH(Table_ErrorList[[#Headers],[Attention To Named Range]],Table_ErrorList[#Headers],0)-1,ROWS(Table_ErrorList[]),1),1,FALSE))=FALSE</f>
        <v>1</v>
      </c>
      <c r="G153" s="20" t="b">
        <f>MID(Table_NamedRanges[[#This Row],[Reference Text]],2,1)="'"</f>
        <v>1</v>
      </c>
      <c r="H153" s="20">
        <f>(LEN(Table_NamedRanges[[#This Row],[Reference Text]])-LEN(SUBSTITUTE(Table_NamedRanges[[#This Row],[Reference Text]],":","")))/LEN(":")</f>
        <v>0</v>
      </c>
      <c r="I153" s="20" t="b">
        <f>OR(ISERROR(FIND("[",Table_NamedRanges[[#This Row],[Reference Text]],1))=FALSE,ISERROR(FIND("]",Table_NamedRanges[[#This Row],[Reference Text]],1))=FALSE)</f>
        <v>0</v>
      </c>
      <c r="J153" s="20">
        <f>(LEN(Table_NamedRanges[[#This Row],[Reference Text]])-LEN(SUBSTITUTE(Table_NamedRanges[[#This Row],[Reference Text]],",","")))/LEN(",")</f>
        <v>0</v>
      </c>
      <c r="K153" s="20" t="str">
        <f>IF(Table_NamedRanges[[#This Row],[Starts with '']]=FALSE,"Other",IF(AND(Table_NamedRanges[[#This Row],[Count of Colon ":"]]=0,Table_NamedRanges[[#This Row],[Count of ","]]=0),"Single Cell",IF(Table_NamedRanges[[#This Row],[Count of Colon ":"]]=1,"Single Range", "Multiple (Cell or Range)")))</f>
        <v>Single Cell</v>
      </c>
    </row>
    <row r="154" spans="2:11" x14ac:dyDescent="0.25">
      <c r="B154" s="6" t="s">
        <v>662</v>
      </c>
      <c r="C154" s="8" t="s">
        <v>955</v>
      </c>
      <c r="D154" s="18">
        <f ca="1">IFERROR(INDIRECT(Table_NamedRanges[[#This Row],[Named Range Paste]]),"Undefined/Error")</f>
        <v>0</v>
      </c>
      <c r="E154" s="18" t="str">
        <f>Table_NamedRanges[[#This Row],[Reference Paste]]</f>
        <v>='Travel Expense Summary'!$K$37</v>
      </c>
      <c r="F154" s="18" t="b">
        <f ca="1">ISERROR(VLOOKUP(Table_NamedRanges[[#This Row],[Named Range Paste]],OFFSET(INDEX(Table_ErrorList[],1,1),0,MATCH(Table_ErrorList[[#Headers],[Attention To Named Range]],Table_ErrorList[#Headers],0)-1,ROWS(Table_ErrorList[]),1),1,FALSE))=FALSE</f>
        <v>1</v>
      </c>
      <c r="G154" s="20" t="b">
        <f>MID(Table_NamedRanges[[#This Row],[Reference Text]],2,1)="'"</f>
        <v>1</v>
      </c>
      <c r="H154" s="20">
        <f>(LEN(Table_NamedRanges[[#This Row],[Reference Text]])-LEN(SUBSTITUTE(Table_NamedRanges[[#This Row],[Reference Text]],":","")))/LEN(":")</f>
        <v>0</v>
      </c>
      <c r="I154" s="20" t="b">
        <f>OR(ISERROR(FIND("[",Table_NamedRanges[[#This Row],[Reference Text]],1))=FALSE,ISERROR(FIND("]",Table_NamedRanges[[#This Row],[Reference Text]],1))=FALSE)</f>
        <v>0</v>
      </c>
      <c r="J154" s="20">
        <f>(LEN(Table_NamedRanges[[#This Row],[Reference Text]])-LEN(SUBSTITUTE(Table_NamedRanges[[#This Row],[Reference Text]],",","")))/LEN(",")</f>
        <v>0</v>
      </c>
      <c r="K154" s="20" t="str">
        <f>IF(Table_NamedRanges[[#This Row],[Starts with '']]=FALSE,"Other",IF(AND(Table_NamedRanges[[#This Row],[Count of Colon ":"]]=0,Table_NamedRanges[[#This Row],[Count of ","]]=0),"Single Cell",IF(Table_NamedRanges[[#This Row],[Count of Colon ":"]]=1,"Single Range", "Multiple (Cell or Range)")))</f>
        <v>Single Cell</v>
      </c>
    </row>
    <row r="155" spans="2:11" x14ac:dyDescent="0.25">
      <c r="B155" s="6" t="s">
        <v>431</v>
      </c>
      <c r="C155" s="8" t="s">
        <v>956</v>
      </c>
      <c r="D155" s="18" t="str">
        <f ca="1">IFERROR(INDIRECT(Table_NamedRanges[[#This Row],[Named Range Paste]]),"Undefined/Error")</f>
        <v>Toronto</v>
      </c>
      <c r="E155" s="18" t="str">
        <f>Table_NamedRanges[[#This Row],[Reference Paste]]</f>
        <v>='Travel Expense Summary'!$R$27</v>
      </c>
      <c r="F155" s="18" t="b">
        <f ca="1">ISERROR(VLOOKUP(Table_NamedRanges[[#This Row],[Named Range Paste]],OFFSET(INDEX(Table_ErrorList[],1,1),0,MATCH(Table_ErrorList[[#Headers],[Attention To Named Range]],Table_ErrorList[#Headers],0)-1,ROWS(Table_ErrorList[]),1),1,FALSE))=FALSE</f>
        <v>1</v>
      </c>
      <c r="G155" s="20" t="b">
        <f>MID(Table_NamedRanges[[#This Row],[Reference Text]],2,1)="'"</f>
        <v>1</v>
      </c>
      <c r="H155" s="20">
        <f>(LEN(Table_NamedRanges[[#This Row],[Reference Text]])-LEN(SUBSTITUTE(Table_NamedRanges[[#This Row],[Reference Text]],":","")))/LEN(":")</f>
        <v>0</v>
      </c>
      <c r="I155" s="20" t="b">
        <f>OR(ISERROR(FIND("[",Table_NamedRanges[[#This Row],[Reference Text]],1))=FALSE,ISERROR(FIND("]",Table_NamedRanges[[#This Row],[Reference Text]],1))=FALSE)</f>
        <v>0</v>
      </c>
      <c r="J155" s="20">
        <f>(LEN(Table_NamedRanges[[#This Row],[Reference Text]])-LEN(SUBSTITUTE(Table_NamedRanges[[#This Row],[Reference Text]],",","")))/LEN(",")</f>
        <v>0</v>
      </c>
      <c r="K155" s="20" t="str">
        <f>IF(Table_NamedRanges[[#This Row],[Starts with '']]=FALSE,"Other",IF(AND(Table_NamedRanges[[#This Row],[Count of Colon ":"]]=0,Table_NamedRanges[[#This Row],[Count of ","]]=0),"Single Cell",IF(Table_NamedRanges[[#This Row],[Count of Colon ":"]]=1,"Single Range", "Multiple (Cell or Range)")))</f>
        <v>Single Cell</v>
      </c>
    </row>
    <row r="156" spans="2:11" x14ac:dyDescent="0.25">
      <c r="B156" s="6" t="s">
        <v>460</v>
      </c>
      <c r="C156" s="8" t="s">
        <v>957</v>
      </c>
      <c r="D156" s="18">
        <f ca="1">IFERROR(INDIRECT(Table_NamedRanges[[#This Row],[Named Range Paste]]),"Undefined/Error")</f>
        <v>0</v>
      </c>
      <c r="E156" s="18" t="str">
        <f>Table_NamedRanges[[#This Row],[Reference Paste]]</f>
        <v>='Travel Expense Summary'!$R$28</v>
      </c>
      <c r="F156" s="18" t="b">
        <f ca="1">ISERROR(VLOOKUP(Table_NamedRanges[[#This Row],[Named Range Paste]],OFFSET(INDEX(Table_ErrorList[],1,1),0,MATCH(Table_ErrorList[[#Headers],[Attention To Named Range]],Table_ErrorList[#Headers],0)-1,ROWS(Table_ErrorList[]),1),1,FALSE))=FALSE</f>
        <v>1</v>
      </c>
      <c r="G156" s="20" t="b">
        <f>MID(Table_NamedRanges[[#This Row],[Reference Text]],2,1)="'"</f>
        <v>1</v>
      </c>
      <c r="H156" s="20">
        <f>(LEN(Table_NamedRanges[[#This Row],[Reference Text]])-LEN(SUBSTITUTE(Table_NamedRanges[[#This Row],[Reference Text]],":","")))/LEN(":")</f>
        <v>0</v>
      </c>
      <c r="I156" s="20" t="b">
        <f>OR(ISERROR(FIND("[",Table_NamedRanges[[#This Row],[Reference Text]],1))=FALSE,ISERROR(FIND("]",Table_NamedRanges[[#This Row],[Reference Text]],1))=FALSE)</f>
        <v>0</v>
      </c>
      <c r="J156" s="20">
        <f>(LEN(Table_NamedRanges[[#This Row],[Reference Text]])-LEN(SUBSTITUTE(Table_NamedRanges[[#This Row],[Reference Text]],",","")))/LEN(",")</f>
        <v>0</v>
      </c>
      <c r="K156" s="20" t="str">
        <f>IF(Table_NamedRanges[[#This Row],[Starts with '']]=FALSE,"Other",IF(AND(Table_NamedRanges[[#This Row],[Count of Colon ":"]]=0,Table_NamedRanges[[#This Row],[Count of ","]]=0),"Single Cell",IF(Table_NamedRanges[[#This Row],[Count of Colon ":"]]=1,"Single Range", "Multiple (Cell or Range)")))</f>
        <v>Single Cell</v>
      </c>
    </row>
    <row r="157" spans="2:11" x14ac:dyDescent="0.25">
      <c r="B157" s="6" t="s">
        <v>485</v>
      </c>
      <c r="C157" s="8" t="s">
        <v>958</v>
      </c>
      <c r="D157" s="18" t="str">
        <f ca="1">IFERROR(INDIRECT(Table_NamedRanges[[#This Row],[Named Range Paste]]),"Undefined/Error")</f>
        <v xml:space="preserve">Residence </v>
      </c>
      <c r="E157" s="18" t="str">
        <f>Table_NamedRanges[[#This Row],[Reference Paste]]</f>
        <v>='Travel Expense Summary'!$R$29</v>
      </c>
      <c r="F157" s="18" t="b">
        <f ca="1">ISERROR(VLOOKUP(Table_NamedRanges[[#This Row],[Named Range Paste]],OFFSET(INDEX(Table_ErrorList[],1,1),0,MATCH(Table_ErrorList[[#Headers],[Attention To Named Range]],Table_ErrorList[#Headers],0)-1,ROWS(Table_ErrorList[]),1),1,FALSE))=FALSE</f>
        <v>1</v>
      </c>
      <c r="G157" s="20" t="b">
        <f>MID(Table_NamedRanges[[#This Row],[Reference Text]],2,1)="'"</f>
        <v>1</v>
      </c>
      <c r="H157" s="20">
        <f>(LEN(Table_NamedRanges[[#This Row],[Reference Text]])-LEN(SUBSTITUTE(Table_NamedRanges[[#This Row],[Reference Text]],":","")))/LEN(":")</f>
        <v>0</v>
      </c>
      <c r="I157" s="20" t="b">
        <f>OR(ISERROR(FIND("[",Table_NamedRanges[[#This Row],[Reference Text]],1))=FALSE,ISERROR(FIND("]",Table_NamedRanges[[#This Row],[Reference Text]],1))=FALSE)</f>
        <v>0</v>
      </c>
      <c r="J157" s="20">
        <f>(LEN(Table_NamedRanges[[#This Row],[Reference Text]])-LEN(SUBSTITUTE(Table_NamedRanges[[#This Row],[Reference Text]],",","")))/LEN(",")</f>
        <v>0</v>
      </c>
      <c r="K157" s="20" t="str">
        <f>IF(Table_NamedRanges[[#This Row],[Starts with '']]=FALSE,"Other",IF(AND(Table_NamedRanges[[#This Row],[Count of Colon ":"]]=0,Table_NamedRanges[[#This Row],[Count of ","]]=0),"Single Cell",IF(Table_NamedRanges[[#This Row],[Count of Colon ":"]]=1,"Single Range", "Multiple (Cell or Range)")))</f>
        <v>Single Cell</v>
      </c>
    </row>
    <row r="158" spans="2:11" x14ac:dyDescent="0.25">
      <c r="B158" s="6" t="s">
        <v>508</v>
      </c>
      <c r="C158" s="8" t="s">
        <v>959</v>
      </c>
      <c r="D158" s="18">
        <f ca="1">IFERROR(INDIRECT(Table_NamedRanges[[#This Row],[Named Range Paste]]),"Undefined/Error")</f>
        <v>0</v>
      </c>
      <c r="E158" s="18" t="str">
        <f>Table_NamedRanges[[#This Row],[Reference Paste]]</f>
        <v>='Travel Expense Summary'!$R$30</v>
      </c>
      <c r="F158" s="18" t="b">
        <f ca="1">ISERROR(VLOOKUP(Table_NamedRanges[[#This Row],[Named Range Paste]],OFFSET(INDEX(Table_ErrorList[],1,1),0,MATCH(Table_ErrorList[[#Headers],[Attention To Named Range]],Table_ErrorList[#Headers],0)-1,ROWS(Table_ErrorList[]),1),1,FALSE))=FALSE</f>
        <v>1</v>
      </c>
      <c r="G158" s="20" t="b">
        <f>MID(Table_NamedRanges[[#This Row],[Reference Text]],2,1)="'"</f>
        <v>1</v>
      </c>
      <c r="H158" s="20">
        <f>(LEN(Table_NamedRanges[[#This Row],[Reference Text]])-LEN(SUBSTITUTE(Table_NamedRanges[[#This Row],[Reference Text]],":","")))/LEN(":")</f>
        <v>0</v>
      </c>
      <c r="I158" s="20" t="b">
        <f>OR(ISERROR(FIND("[",Table_NamedRanges[[#This Row],[Reference Text]],1))=FALSE,ISERROR(FIND("]",Table_NamedRanges[[#This Row],[Reference Text]],1))=FALSE)</f>
        <v>0</v>
      </c>
      <c r="J158" s="20">
        <f>(LEN(Table_NamedRanges[[#This Row],[Reference Text]])-LEN(SUBSTITUTE(Table_NamedRanges[[#This Row],[Reference Text]],",","")))/LEN(",")</f>
        <v>0</v>
      </c>
      <c r="K158" s="20" t="str">
        <f>IF(Table_NamedRanges[[#This Row],[Starts with '']]=FALSE,"Other",IF(AND(Table_NamedRanges[[#This Row],[Count of Colon ":"]]=0,Table_NamedRanges[[#This Row],[Count of ","]]=0),"Single Cell",IF(Table_NamedRanges[[#This Row],[Count of Colon ":"]]=1,"Single Range", "Multiple (Cell or Range)")))</f>
        <v>Single Cell</v>
      </c>
    </row>
    <row r="159" spans="2:11" x14ac:dyDescent="0.25">
      <c r="B159" s="6" t="s">
        <v>531</v>
      </c>
      <c r="C159" s="8" t="s">
        <v>960</v>
      </c>
      <c r="D159" s="18">
        <f ca="1">IFERROR(INDIRECT(Table_NamedRanges[[#This Row],[Named Range Paste]]),"Undefined/Error")</f>
        <v>0</v>
      </c>
      <c r="E159" s="18" t="str">
        <f>Table_NamedRanges[[#This Row],[Reference Paste]]</f>
        <v>='Travel Expense Summary'!$R$31</v>
      </c>
      <c r="F159" s="18" t="b">
        <f ca="1">ISERROR(VLOOKUP(Table_NamedRanges[[#This Row],[Named Range Paste]],OFFSET(INDEX(Table_ErrorList[],1,1),0,MATCH(Table_ErrorList[[#Headers],[Attention To Named Range]],Table_ErrorList[#Headers],0)-1,ROWS(Table_ErrorList[]),1),1,FALSE))=FALSE</f>
        <v>1</v>
      </c>
      <c r="G159" s="20" t="b">
        <f>MID(Table_NamedRanges[[#This Row],[Reference Text]],2,1)="'"</f>
        <v>1</v>
      </c>
      <c r="H159" s="20">
        <f>(LEN(Table_NamedRanges[[#This Row],[Reference Text]])-LEN(SUBSTITUTE(Table_NamedRanges[[#This Row],[Reference Text]],":","")))/LEN(":")</f>
        <v>0</v>
      </c>
      <c r="I159" s="20" t="b">
        <f>OR(ISERROR(FIND("[",Table_NamedRanges[[#This Row],[Reference Text]],1))=FALSE,ISERROR(FIND("]",Table_NamedRanges[[#This Row],[Reference Text]],1))=FALSE)</f>
        <v>0</v>
      </c>
      <c r="J159" s="20">
        <f>(LEN(Table_NamedRanges[[#This Row],[Reference Text]])-LEN(SUBSTITUTE(Table_NamedRanges[[#This Row],[Reference Text]],",","")))/LEN(",")</f>
        <v>0</v>
      </c>
      <c r="K159" s="20" t="str">
        <f>IF(Table_NamedRanges[[#This Row],[Starts with '']]=FALSE,"Other",IF(AND(Table_NamedRanges[[#This Row],[Count of Colon ":"]]=0,Table_NamedRanges[[#This Row],[Count of ","]]=0),"Single Cell",IF(Table_NamedRanges[[#This Row],[Count of Colon ":"]]=1,"Single Range", "Multiple (Cell or Range)")))</f>
        <v>Single Cell</v>
      </c>
    </row>
    <row r="160" spans="2:11" x14ac:dyDescent="0.25">
      <c r="B160" s="6" t="s">
        <v>554</v>
      </c>
      <c r="C160" s="8" t="s">
        <v>961</v>
      </c>
      <c r="D160" s="18">
        <f ca="1">IFERROR(INDIRECT(Table_NamedRanges[[#This Row],[Named Range Paste]]),"Undefined/Error")</f>
        <v>0</v>
      </c>
      <c r="E160" s="18" t="str">
        <f>Table_NamedRanges[[#This Row],[Reference Paste]]</f>
        <v>='Travel Expense Summary'!$R$32</v>
      </c>
      <c r="F160" s="18" t="b">
        <f ca="1">ISERROR(VLOOKUP(Table_NamedRanges[[#This Row],[Named Range Paste]],OFFSET(INDEX(Table_ErrorList[],1,1),0,MATCH(Table_ErrorList[[#Headers],[Attention To Named Range]],Table_ErrorList[#Headers],0)-1,ROWS(Table_ErrorList[]),1),1,FALSE))=FALSE</f>
        <v>1</v>
      </c>
      <c r="G160" s="20" t="b">
        <f>MID(Table_NamedRanges[[#This Row],[Reference Text]],2,1)="'"</f>
        <v>1</v>
      </c>
      <c r="H160" s="20">
        <f>(LEN(Table_NamedRanges[[#This Row],[Reference Text]])-LEN(SUBSTITUTE(Table_NamedRanges[[#This Row],[Reference Text]],":","")))/LEN(":")</f>
        <v>0</v>
      </c>
      <c r="I160" s="20" t="b">
        <f>OR(ISERROR(FIND("[",Table_NamedRanges[[#This Row],[Reference Text]],1))=FALSE,ISERROR(FIND("]",Table_NamedRanges[[#This Row],[Reference Text]],1))=FALSE)</f>
        <v>0</v>
      </c>
      <c r="J160" s="20">
        <f>(LEN(Table_NamedRanges[[#This Row],[Reference Text]])-LEN(SUBSTITUTE(Table_NamedRanges[[#This Row],[Reference Text]],",","")))/LEN(",")</f>
        <v>0</v>
      </c>
      <c r="K160" s="20" t="str">
        <f>IF(Table_NamedRanges[[#This Row],[Starts with '']]=FALSE,"Other",IF(AND(Table_NamedRanges[[#This Row],[Count of Colon ":"]]=0,Table_NamedRanges[[#This Row],[Count of ","]]=0),"Single Cell",IF(Table_NamedRanges[[#This Row],[Count of Colon ":"]]=1,"Single Range", "Multiple (Cell or Range)")))</f>
        <v>Single Cell</v>
      </c>
    </row>
    <row r="161" spans="2:11" x14ac:dyDescent="0.25">
      <c r="B161" s="6" t="s">
        <v>577</v>
      </c>
      <c r="C161" s="8" t="s">
        <v>962</v>
      </c>
      <c r="D161" s="18">
        <f ca="1">IFERROR(INDIRECT(Table_NamedRanges[[#This Row],[Named Range Paste]]),"Undefined/Error")</f>
        <v>0</v>
      </c>
      <c r="E161" s="18" t="str">
        <f>Table_NamedRanges[[#This Row],[Reference Paste]]</f>
        <v>='Travel Expense Summary'!$R$33</v>
      </c>
      <c r="F161" s="18" t="b">
        <f ca="1">ISERROR(VLOOKUP(Table_NamedRanges[[#This Row],[Named Range Paste]],OFFSET(INDEX(Table_ErrorList[],1,1),0,MATCH(Table_ErrorList[[#Headers],[Attention To Named Range]],Table_ErrorList[#Headers],0)-1,ROWS(Table_ErrorList[]),1),1,FALSE))=FALSE</f>
        <v>1</v>
      </c>
      <c r="G161" s="20" t="b">
        <f>MID(Table_NamedRanges[[#This Row],[Reference Text]],2,1)="'"</f>
        <v>1</v>
      </c>
      <c r="H161" s="20">
        <f>(LEN(Table_NamedRanges[[#This Row],[Reference Text]])-LEN(SUBSTITUTE(Table_NamedRanges[[#This Row],[Reference Text]],":","")))/LEN(":")</f>
        <v>0</v>
      </c>
      <c r="I161" s="20" t="b">
        <f>OR(ISERROR(FIND("[",Table_NamedRanges[[#This Row],[Reference Text]],1))=FALSE,ISERROR(FIND("]",Table_NamedRanges[[#This Row],[Reference Text]],1))=FALSE)</f>
        <v>0</v>
      </c>
      <c r="J161" s="20">
        <f>(LEN(Table_NamedRanges[[#This Row],[Reference Text]])-LEN(SUBSTITUTE(Table_NamedRanges[[#This Row],[Reference Text]],",","")))/LEN(",")</f>
        <v>0</v>
      </c>
      <c r="K161" s="20" t="str">
        <f>IF(Table_NamedRanges[[#This Row],[Starts with '']]=FALSE,"Other",IF(AND(Table_NamedRanges[[#This Row],[Count of Colon ":"]]=0,Table_NamedRanges[[#This Row],[Count of ","]]=0),"Single Cell",IF(Table_NamedRanges[[#This Row],[Count of Colon ":"]]=1,"Single Range", "Multiple (Cell or Range)")))</f>
        <v>Single Cell</v>
      </c>
    </row>
    <row r="162" spans="2:11" x14ac:dyDescent="0.25">
      <c r="B162" s="6" t="s">
        <v>600</v>
      </c>
      <c r="C162" s="8" t="s">
        <v>963</v>
      </c>
      <c r="D162" s="18">
        <f ca="1">IFERROR(INDIRECT(Table_NamedRanges[[#This Row],[Named Range Paste]]),"Undefined/Error")</f>
        <v>0</v>
      </c>
      <c r="E162" s="18" t="str">
        <f>Table_NamedRanges[[#This Row],[Reference Paste]]</f>
        <v>='Travel Expense Summary'!$R$34</v>
      </c>
      <c r="F162" s="18" t="b">
        <f ca="1">ISERROR(VLOOKUP(Table_NamedRanges[[#This Row],[Named Range Paste]],OFFSET(INDEX(Table_ErrorList[],1,1),0,MATCH(Table_ErrorList[[#Headers],[Attention To Named Range]],Table_ErrorList[#Headers],0)-1,ROWS(Table_ErrorList[]),1),1,FALSE))=FALSE</f>
        <v>1</v>
      </c>
      <c r="G162" s="20" t="b">
        <f>MID(Table_NamedRanges[[#This Row],[Reference Text]],2,1)="'"</f>
        <v>1</v>
      </c>
      <c r="H162" s="20">
        <f>(LEN(Table_NamedRanges[[#This Row],[Reference Text]])-LEN(SUBSTITUTE(Table_NamedRanges[[#This Row],[Reference Text]],":","")))/LEN(":")</f>
        <v>0</v>
      </c>
      <c r="I162" s="20" t="b">
        <f>OR(ISERROR(FIND("[",Table_NamedRanges[[#This Row],[Reference Text]],1))=FALSE,ISERROR(FIND("]",Table_NamedRanges[[#This Row],[Reference Text]],1))=FALSE)</f>
        <v>0</v>
      </c>
      <c r="J162" s="20">
        <f>(LEN(Table_NamedRanges[[#This Row],[Reference Text]])-LEN(SUBSTITUTE(Table_NamedRanges[[#This Row],[Reference Text]],",","")))/LEN(",")</f>
        <v>0</v>
      </c>
      <c r="K162" s="20" t="str">
        <f>IF(Table_NamedRanges[[#This Row],[Starts with '']]=FALSE,"Other",IF(AND(Table_NamedRanges[[#This Row],[Count of Colon ":"]]=0,Table_NamedRanges[[#This Row],[Count of ","]]=0),"Single Cell",IF(Table_NamedRanges[[#This Row],[Count of Colon ":"]]=1,"Single Range", "Multiple (Cell or Range)")))</f>
        <v>Single Cell</v>
      </c>
    </row>
    <row r="163" spans="2:11" x14ac:dyDescent="0.25">
      <c r="B163" s="6" t="s">
        <v>623</v>
      </c>
      <c r="C163" s="8" t="s">
        <v>964</v>
      </c>
      <c r="D163" s="18">
        <f ca="1">IFERROR(INDIRECT(Table_NamedRanges[[#This Row],[Named Range Paste]]),"Undefined/Error")</f>
        <v>0</v>
      </c>
      <c r="E163" s="18" t="str">
        <f>Table_NamedRanges[[#This Row],[Reference Paste]]</f>
        <v>='Travel Expense Summary'!$R$35</v>
      </c>
      <c r="F163" s="18" t="b">
        <f ca="1">ISERROR(VLOOKUP(Table_NamedRanges[[#This Row],[Named Range Paste]],OFFSET(INDEX(Table_ErrorList[],1,1),0,MATCH(Table_ErrorList[[#Headers],[Attention To Named Range]],Table_ErrorList[#Headers],0)-1,ROWS(Table_ErrorList[]),1),1,FALSE))=FALSE</f>
        <v>1</v>
      </c>
      <c r="G163" s="20" t="b">
        <f>MID(Table_NamedRanges[[#This Row],[Reference Text]],2,1)="'"</f>
        <v>1</v>
      </c>
      <c r="H163" s="20">
        <f>(LEN(Table_NamedRanges[[#This Row],[Reference Text]])-LEN(SUBSTITUTE(Table_NamedRanges[[#This Row],[Reference Text]],":","")))/LEN(":")</f>
        <v>0</v>
      </c>
      <c r="I163" s="20" t="b">
        <f>OR(ISERROR(FIND("[",Table_NamedRanges[[#This Row],[Reference Text]],1))=FALSE,ISERROR(FIND("]",Table_NamedRanges[[#This Row],[Reference Text]],1))=FALSE)</f>
        <v>0</v>
      </c>
      <c r="J163" s="20">
        <f>(LEN(Table_NamedRanges[[#This Row],[Reference Text]])-LEN(SUBSTITUTE(Table_NamedRanges[[#This Row],[Reference Text]],",","")))/LEN(",")</f>
        <v>0</v>
      </c>
      <c r="K163" s="20" t="str">
        <f>IF(Table_NamedRanges[[#This Row],[Starts with '']]=FALSE,"Other",IF(AND(Table_NamedRanges[[#This Row],[Count of Colon ":"]]=0,Table_NamedRanges[[#This Row],[Count of ","]]=0),"Single Cell",IF(Table_NamedRanges[[#This Row],[Count of Colon ":"]]=1,"Single Range", "Multiple (Cell or Range)")))</f>
        <v>Single Cell</v>
      </c>
    </row>
    <row r="164" spans="2:11" x14ac:dyDescent="0.25">
      <c r="B164" s="6" t="s">
        <v>646</v>
      </c>
      <c r="C164" s="8" t="s">
        <v>965</v>
      </c>
      <c r="D164" s="18">
        <f ca="1">IFERROR(INDIRECT(Table_NamedRanges[[#This Row],[Named Range Paste]]),"Undefined/Error")</f>
        <v>0</v>
      </c>
      <c r="E164" s="18" t="str">
        <f>Table_NamedRanges[[#This Row],[Reference Paste]]</f>
        <v>='Travel Expense Summary'!$R$36</v>
      </c>
      <c r="F164" s="18" t="b">
        <f ca="1">ISERROR(VLOOKUP(Table_NamedRanges[[#This Row],[Named Range Paste]],OFFSET(INDEX(Table_ErrorList[],1,1),0,MATCH(Table_ErrorList[[#Headers],[Attention To Named Range]],Table_ErrorList[#Headers],0)-1,ROWS(Table_ErrorList[]),1),1,FALSE))=FALSE</f>
        <v>1</v>
      </c>
      <c r="G164" s="20" t="b">
        <f>MID(Table_NamedRanges[[#This Row],[Reference Text]],2,1)="'"</f>
        <v>1</v>
      </c>
      <c r="H164" s="20">
        <f>(LEN(Table_NamedRanges[[#This Row],[Reference Text]])-LEN(SUBSTITUTE(Table_NamedRanges[[#This Row],[Reference Text]],":","")))/LEN(":")</f>
        <v>0</v>
      </c>
      <c r="I164" s="20" t="b">
        <f>OR(ISERROR(FIND("[",Table_NamedRanges[[#This Row],[Reference Text]],1))=FALSE,ISERROR(FIND("]",Table_NamedRanges[[#This Row],[Reference Text]],1))=FALSE)</f>
        <v>0</v>
      </c>
      <c r="J164" s="20">
        <f>(LEN(Table_NamedRanges[[#This Row],[Reference Text]])-LEN(SUBSTITUTE(Table_NamedRanges[[#This Row],[Reference Text]],",","")))/LEN(",")</f>
        <v>0</v>
      </c>
      <c r="K164" s="20" t="str">
        <f>IF(Table_NamedRanges[[#This Row],[Starts with '']]=FALSE,"Other",IF(AND(Table_NamedRanges[[#This Row],[Count of Colon ":"]]=0,Table_NamedRanges[[#This Row],[Count of ","]]=0),"Single Cell",IF(Table_NamedRanges[[#This Row],[Count of Colon ":"]]=1,"Single Range", "Multiple (Cell or Range)")))</f>
        <v>Single Cell</v>
      </c>
    </row>
    <row r="165" spans="2:11" x14ac:dyDescent="0.25">
      <c r="B165" s="6" t="s">
        <v>669</v>
      </c>
      <c r="C165" s="8" t="s">
        <v>966</v>
      </c>
      <c r="D165" s="18">
        <f ca="1">IFERROR(INDIRECT(Table_NamedRanges[[#This Row],[Named Range Paste]]),"Undefined/Error")</f>
        <v>0</v>
      </c>
      <c r="E165" s="18" t="str">
        <f>Table_NamedRanges[[#This Row],[Reference Paste]]</f>
        <v>='Travel Expense Summary'!$R$37</v>
      </c>
      <c r="F165" s="18" t="b">
        <f ca="1">ISERROR(VLOOKUP(Table_NamedRanges[[#This Row],[Named Range Paste]],OFFSET(INDEX(Table_ErrorList[],1,1),0,MATCH(Table_ErrorList[[#Headers],[Attention To Named Range]],Table_ErrorList[#Headers],0)-1,ROWS(Table_ErrorList[]),1),1,FALSE))=FALSE</f>
        <v>1</v>
      </c>
      <c r="G165" s="20" t="b">
        <f>MID(Table_NamedRanges[[#This Row],[Reference Text]],2,1)="'"</f>
        <v>1</v>
      </c>
      <c r="H165" s="20">
        <f>(LEN(Table_NamedRanges[[#This Row],[Reference Text]])-LEN(SUBSTITUTE(Table_NamedRanges[[#This Row],[Reference Text]],":","")))/LEN(":")</f>
        <v>0</v>
      </c>
      <c r="I165" s="20" t="b">
        <f>OR(ISERROR(FIND("[",Table_NamedRanges[[#This Row],[Reference Text]],1))=FALSE,ISERROR(FIND("]",Table_NamedRanges[[#This Row],[Reference Text]],1))=FALSE)</f>
        <v>0</v>
      </c>
      <c r="J165" s="20">
        <f>(LEN(Table_NamedRanges[[#This Row],[Reference Text]])-LEN(SUBSTITUTE(Table_NamedRanges[[#This Row],[Reference Text]],",","")))/LEN(",")</f>
        <v>0</v>
      </c>
      <c r="K165" s="20" t="str">
        <f>IF(Table_NamedRanges[[#This Row],[Starts with '']]=FALSE,"Other",IF(AND(Table_NamedRanges[[#This Row],[Count of Colon ":"]]=0,Table_NamedRanges[[#This Row],[Count of ","]]=0),"Single Cell",IF(Table_NamedRanges[[#This Row],[Count of Colon ":"]]=1,"Single Range", "Multiple (Cell or Range)")))</f>
        <v>Single Cell</v>
      </c>
    </row>
    <row r="166" spans="2:11" x14ac:dyDescent="0.25">
      <c r="B166" s="6" t="s">
        <v>444</v>
      </c>
      <c r="C166" s="8" t="s">
        <v>967</v>
      </c>
      <c r="D166" s="18">
        <f ca="1">IFERROR(INDIRECT(Table_NamedRanges[[#This Row],[Named Range Paste]]),"Undefined/Error")</f>
        <v>2810</v>
      </c>
      <c r="E166" s="18" t="str">
        <f>Table_NamedRanges[[#This Row],[Reference Paste]]</f>
        <v>='Travel Expense Summary'!$Y$27</v>
      </c>
      <c r="F166" s="18" t="b">
        <f ca="1">ISERROR(VLOOKUP(Table_NamedRanges[[#This Row],[Named Range Paste]],OFFSET(INDEX(Table_ErrorList[],1,1),0,MATCH(Table_ErrorList[[#Headers],[Attention To Named Range]],Table_ErrorList[#Headers],0)-1,ROWS(Table_ErrorList[]),1),1,FALSE))=FALSE</f>
        <v>1</v>
      </c>
      <c r="G166" s="20" t="b">
        <f>MID(Table_NamedRanges[[#This Row],[Reference Text]],2,1)="'"</f>
        <v>1</v>
      </c>
      <c r="H166" s="20">
        <f>(LEN(Table_NamedRanges[[#This Row],[Reference Text]])-LEN(SUBSTITUTE(Table_NamedRanges[[#This Row],[Reference Text]],":","")))/LEN(":")</f>
        <v>0</v>
      </c>
      <c r="I166" s="20" t="b">
        <f>OR(ISERROR(FIND("[",Table_NamedRanges[[#This Row],[Reference Text]],1))=FALSE,ISERROR(FIND("]",Table_NamedRanges[[#This Row],[Reference Text]],1))=FALSE)</f>
        <v>0</v>
      </c>
      <c r="J166" s="20">
        <f>(LEN(Table_NamedRanges[[#This Row],[Reference Text]])-LEN(SUBSTITUTE(Table_NamedRanges[[#This Row],[Reference Text]],",","")))/LEN(",")</f>
        <v>0</v>
      </c>
      <c r="K166" s="20" t="str">
        <f>IF(Table_NamedRanges[[#This Row],[Starts with '']]=FALSE,"Other",IF(AND(Table_NamedRanges[[#This Row],[Count of Colon ":"]]=0,Table_NamedRanges[[#This Row],[Count of ","]]=0),"Single Cell",IF(Table_NamedRanges[[#This Row],[Count of Colon ":"]]=1,"Single Range", "Multiple (Cell or Range)")))</f>
        <v>Single Cell</v>
      </c>
    </row>
    <row r="167" spans="2:11" x14ac:dyDescent="0.25">
      <c r="B167" s="6" t="s">
        <v>469</v>
      </c>
      <c r="C167" s="8" t="s">
        <v>968</v>
      </c>
      <c r="D167" s="18">
        <f ca="1">IFERROR(INDIRECT(Table_NamedRanges[[#This Row],[Named Range Paste]]),"Undefined/Error")</f>
        <v>0</v>
      </c>
      <c r="E167" s="18" t="str">
        <f>Table_NamedRanges[[#This Row],[Reference Paste]]</f>
        <v>='Travel Expense Summary'!$Y$28</v>
      </c>
      <c r="F167" s="18" t="b">
        <f ca="1">ISERROR(VLOOKUP(Table_NamedRanges[[#This Row],[Named Range Paste]],OFFSET(INDEX(Table_ErrorList[],1,1),0,MATCH(Table_ErrorList[[#Headers],[Attention To Named Range]],Table_ErrorList[#Headers],0)-1,ROWS(Table_ErrorList[]),1),1,FALSE))=FALSE</f>
        <v>1</v>
      </c>
      <c r="G167" s="20" t="b">
        <f>MID(Table_NamedRanges[[#This Row],[Reference Text]],2,1)="'"</f>
        <v>1</v>
      </c>
      <c r="H167" s="20">
        <f>(LEN(Table_NamedRanges[[#This Row],[Reference Text]])-LEN(SUBSTITUTE(Table_NamedRanges[[#This Row],[Reference Text]],":","")))/LEN(":")</f>
        <v>0</v>
      </c>
      <c r="I167" s="20" t="b">
        <f>OR(ISERROR(FIND("[",Table_NamedRanges[[#This Row],[Reference Text]],1))=FALSE,ISERROR(FIND("]",Table_NamedRanges[[#This Row],[Reference Text]],1))=FALSE)</f>
        <v>0</v>
      </c>
      <c r="J167" s="20">
        <f>(LEN(Table_NamedRanges[[#This Row],[Reference Text]])-LEN(SUBSTITUTE(Table_NamedRanges[[#This Row],[Reference Text]],",","")))/LEN(",")</f>
        <v>0</v>
      </c>
      <c r="K167" s="20" t="str">
        <f>IF(Table_NamedRanges[[#This Row],[Starts with '']]=FALSE,"Other",IF(AND(Table_NamedRanges[[#This Row],[Count of Colon ":"]]=0,Table_NamedRanges[[#This Row],[Count of ","]]=0),"Single Cell",IF(Table_NamedRanges[[#This Row],[Count of Colon ":"]]=1,"Single Range", "Multiple (Cell or Range)")))</f>
        <v>Single Cell</v>
      </c>
    </row>
    <row r="168" spans="2:11" x14ac:dyDescent="0.25">
      <c r="B168" s="6" t="s">
        <v>494</v>
      </c>
      <c r="C168" s="8" t="s">
        <v>969</v>
      </c>
      <c r="D168" s="18">
        <f ca="1">IFERROR(INDIRECT(Table_NamedRanges[[#This Row],[Named Range Paste]]),"Undefined/Error")</f>
        <v>156</v>
      </c>
      <c r="E168" s="18" t="str">
        <f>Table_NamedRanges[[#This Row],[Reference Paste]]</f>
        <v>='Travel Expense Summary'!$Y$29</v>
      </c>
      <c r="F168" s="18" t="b">
        <f ca="1">ISERROR(VLOOKUP(Table_NamedRanges[[#This Row],[Named Range Paste]],OFFSET(INDEX(Table_ErrorList[],1,1),0,MATCH(Table_ErrorList[[#Headers],[Attention To Named Range]],Table_ErrorList[#Headers],0)-1,ROWS(Table_ErrorList[]),1),1,FALSE))=FALSE</f>
        <v>1</v>
      </c>
      <c r="G168" s="20" t="b">
        <f>MID(Table_NamedRanges[[#This Row],[Reference Text]],2,1)="'"</f>
        <v>1</v>
      </c>
      <c r="H168" s="20">
        <f>(LEN(Table_NamedRanges[[#This Row],[Reference Text]])-LEN(SUBSTITUTE(Table_NamedRanges[[#This Row],[Reference Text]],":","")))/LEN(":")</f>
        <v>0</v>
      </c>
      <c r="I168" s="20" t="b">
        <f>OR(ISERROR(FIND("[",Table_NamedRanges[[#This Row],[Reference Text]],1))=FALSE,ISERROR(FIND("]",Table_NamedRanges[[#This Row],[Reference Text]],1))=FALSE)</f>
        <v>0</v>
      </c>
      <c r="J168" s="20">
        <f>(LEN(Table_NamedRanges[[#This Row],[Reference Text]])-LEN(SUBSTITUTE(Table_NamedRanges[[#This Row],[Reference Text]],",","")))/LEN(",")</f>
        <v>0</v>
      </c>
      <c r="K168" s="20" t="str">
        <f>IF(Table_NamedRanges[[#This Row],[Starts with '']]=FALSE,"Other",IF(AND(Table_NamedRanges[[#This Row],[Count of Colon ":"]]=0,Table_NamedRanges[[#This Row],[Count of ","]]=0),"Single Cell",IF(Table_NamedRanges[[#This Row],[Count of Colon ":"]]=1,"Single Range", "Multiple (Cell or Range)")))</f>
        <v>Single Cell</v>
      </c>
    </row>
    <row r="169" spans="2:11" x14ac:dyDescent="0.25">
      <c r="B169" s="6" t="s">
        <v>517</v>
      </c>
      <c r="C169" s="8" t="s">
        <v>970</v>
      </c>
      <c r="D169" s="18">
        <f ca="1">IFERROR(INDIRECT(Table_NamedRanges[[#This Row],[Named Range Paste]]),"Undefined/Error")</f>
        <v>0</v>
      </c>
      <c r="E169" s="18" t="str">
        <f>Table_NamedRanges[[#This Row],[Reference Paste]]</f>
        <v>='Travel Expense Summary'!$Y$30</v>
      </c>
      <c r="F169" s="18" t="b">
        <f ca="1">ISERROR(VLOOKUP(Table_NamedRanges[[#This Row],[Named Range Paste]],OFFSET(INDEX(Table_ErrorList[],1,1),0,MATCH(Table_ErrorList[[#Headers],[Attention To Named Range]],Table_ErrorList[#Headers],0)-1,ROWS(Table_ErrorList[]),1),1,FALSE))=FALSE</f>
        <v>1</v>
      </c>
      <c r="G169" s="20" t="b">
        <f>MID(Table_NamedRanges[[#This Row],[Reference Text]],2,1)="'"</f>
        <v>1</v>
      </c>
      <c r="H169" s="20">
        <f>(LEN(Table_NamedRanges[[#This Row],[Reference Text]])-LEN(SUBSTITUTE(Table_NamedRanges[[#This Row],[Reference Text]],":","")))/LEN(":")</f>
        <v>0</v>
      </c>
      <c r="I169" s="20" t="b">
        <f>OR(ISERROR(FIND("[",Table_NamedRanges[[#This Row],[Reference Text]],1))=FALSE,ISERROR(FIND("]",Table_NamedRanges[[#This Row],[Reference Text]],1))=FALSE)</f>
        <v>0</v>
      </c>
      <c r="J169" s="20">
        <f>(LEN(Table_NamedRanges[[#This Row],[Reference Text]])-LEN(SUBSTITUTE(Table_NamedRanges[[#This Row],[Reference Text]],",","")))/LEN(",")</f>
        <v>0</v>
      </c>
      <c r="K169" s="20" t="str">
        <f>IF(Table_NamedRanges[[#This Row],[Starts with '']]=FALSE,"Other",IF(AND(Table_NamedRanges[[#This Row],[Count of Colon ":"]]=0,Table_NamedRanges[[#This Row],[Count of ","]]=0),"Single Cell",IF(Table_NamedRanges[[#This Row],[Count of Colon ":"]]=1,"Single Range", "Multiple (Cell or Range)")))</f>
        <v>Single Cell</v>
      </c>
    </row>
    <row r="170" spans="2:11" x14ac:dyDescent="0.25">
      <c r="B170" s="6" t="s">
        <v>540</v>
      </c>
      <c r="C170" s="8" t="s">
        <v>971</v>
      </c>
      <c r="D170" s="18">
        <f ca="1">IFERROR(INDIRECT(Table_NamedRanges[[#This Row],[Named Range Paste]]),"Undefined/Error")</f>
        <v>0</v>
      </c>
      <c r="E170" s="18" t="str">
        <f>Table_NamedRanges[[#This Row],[Reference Paste]]</f>
        <v>='Travel Expense Summary'!$Y$31</v>
      </c>
      <c r="F170" s="18" t="b">
        <f ca="1">ISERROR(VLOOKUP(Table_NamedRanges[[#This Row],[Named Range Paste]],OFFSET(INDEX(Table_ErrorList[],1,1),0,MATCH(Table_ErrorList[[#Headers],[Attention To Named Range]],Table_ErrorList[#Headers],0)-1,ROWS(Table_ErrorList[]),1),1,FALSE))=FALSE</f>
        <v>1</v>
      </c>
      <c r="G170" s="20" t="b">
        <f>MID(Table_NamedRanges[[#This Row],[Reference Text]],2,1)="'"</f>
        <v>1</v>
      </c>
      <c r="H170" s="20">
        <f>(LEN(Table_NamedRanges[[#This Row],[Reference Text]])-LEN(SUBSTITUTE(Table_NamedRanges[[#This Row],[Reference Text]],":","")))/LEN(":")</f>
        <v>0</v>
      </c>
      <c r="I170" s="20" t="b">
        <f>OR(ISERROR(FIND("[",Table_NamedRanges[[#This Row],[Reference Text]],1))=FALSE,ISERROR(FIND("]",Table_NamedRanges[[#This Row],[Reference Text]],1))=FALSE)</f>
        <v>0</v>
      </c>
      <c r="J170" s="20">
        <f>(LEN(Table_NamedRanges[[#This Row],[Reference Text]])-LEN(SUBSTITUTE(Table_NamedRanges[[#This Row],[Reference Text]],",","")))/LEN(",")</f>
        <v>0</v>
      </c>
      <c r="K170" s="20" t="str">
        <f>IF(Table_NamedRanges[[#This Row],[Starts with '']]=FALSE,"Other",IF(AND(Table_NamedRanges[[#This Row],[Count of Colon ":"]]=0,Table_NamedRanges[[#This Row],[Count of ","]]=0),"Single Cell",IF(Table_NamedRanges[[#This Row],[Count of Colon ":"]]=1,"Single Range", "Multiple (Cell or Range)")))</f>
        <v>Single Cell</v>
      </c>
    </row>
    <row r="171" spans="2:11" x14ac:dyDescent="0.25">
      <c r="B171" s="6" t="s">
        <v>563</v>
      </c>
      <c r="C171" s="8" t="s">
        <v>972</v>
      </c>
      <c r="D171" s="18">
        <f ca="1">IFERROR(INDIRECT(Table_NamedRanges[[#This Row],[Named Range Paste]]),"Undefined/Error")</f>
        <v>0</v>
      </c>
      <c r="E171" s="18" t="str">
        <f>Table_NamedRanges[[#This Row],[Reference Paste]]</f>
        <v>='Travel Expense Summary'!$Y$32</v>
      </c>
      <c r="F171" s="18" t="b">
        <f ca="1">ISERROR(VLOOKUP(Table_NamedRanges[[#This Row],[Named Range Paste]],OFFSET(INDEX(Table_ErrorList[],1,1),0,MATCH(Table_ErrorList[[#Headers],[Attention To Named Range]],Table_ErrorList[#Headers],0)-1,ROWS(Table_ErrorList[]),1),1,FALSE))=FALSE</f>
        <v>1</v>
      </c>
      <c r="G171" s="20" t="b">
        <f>MID(Table_NamedRanges[[#This Row],[Reference Text]],2,1)="'"</f>
        <v>1</v>
      </c>
      <c r="H171" s="20">
        <f>(LEN(Table_NamedRanges[[#This Row],[Reference Text]])-LEN(SUBSTITUTE(Table_NamedRanges[[#This Row],[Reference Text]],":","")))/LEN(":")</f>
        <v>0</v>
      </c>
      <c r="I171" s="20" t="b">
        <f>OR(ISERROR(FIND("[",Table_NamedRanges[[#This Row],[Reference Text]],1))=FALSE,ISERROR(FIND("]",Table_NamedRanges[[#This Row],[Reference Text]],1))=FALSE)</f>
        <v>0</v>
      </c>
      <c r="J171" s="20">
        <f>(LEN(Table_NamedRanges[[#This Row],[Reference Text]])-LEN(SUBSTITUTE(Table_NamedRanges[[#This Row],[Reference Text]],",","")))/LEN(",")</f>
        <v>0</v>
      </c>
      <c r="K171" s="20" t="str">
        <f>IF(Table_NamedRanges[[#This Row],[Starts with '']]=FALSE,"Other",IF(AND(Table_NamedRanges[[#This Row],[Count of Colon ":"]]=0,Table_NamedRanges[[#This Row],[Count of ","]]=0),"Single Cell",IF(Table_NamedRanges[[#This Row],[Count of Colon ":"]]=1,"Single Range", "Multiple (Cell or Range)")))</f>
        <v>Single Cell</v>
      </c>
    </row>
    <row r="172" spans="2:11" x14ac:dyDescent="0.25">
      <c r="B172" s="6" t="s">
        <v>586</v>
      </c>
      <c r="C172" s="8" t="s">
        <v>973</v>
      </c>
      <c r="D172" s="18">
        <f ca="1">IFERROR(INDIRECT(Table_NamedRanges[[#This Row],[Named Range Paste]]),"Undefined/Error")</f>
        <v>0</v>
      </c>
      <c r="E172" s="18" t="str">
        <f>Table_NamedRanges[[#This Row],[Reference Paste]]</f>
        <v>='Travel Expense Summary'!$Y$33</v>
      </c>
      <c r="F172" s="18" t="b">
        <f ca="1">ISERROR(VLOOKUP(Table_NamedRanges[[#This Row],[Named Range Paste]],OFFSET(INDEX(Table_ErrorList[],1,1),0,MATCH(Table_ErrorList[[#Headers],[Attention To Named Range]],Table_ErrorList[#Headers],0)-1,ROWS(Table_ErrorList[]),1),1,FALSE))=FALSE</f>
        <v>1</v>
      </c>
      <c r="G172" s="20" t="b">
        <f>MID(Table_NamedRanges[[#This Row],[Reference Text]],2,1)="'"</f>
        <v>1</v>
      </c>
      <c r="H172" s="20">
        <f>(LEN(Table_NamedRanges[[#This Row],[Reference Text]])-LEN(SUBSTITUTE(Table_NamedRanges[[#This Row],[Reference Text]],":","")))/LEN(":")</f>
        <v>0</v>
      </c>
      <c r="I172" s="20" t="b">
        <f>OR(ISERROR(FIND("[",Table_NamedRanges[[#This Row],[Reference Text]],1))=FALSE,ISERROR(FIND("]",Table_NamedRanges[[#This Row],[Reference Text]],1))=FALSE)</f>
        <v>0</v>
      </c>
      <c r="J172" s="20">
        <f>(LEN(Table_NamedRanges[[#This Row],[Reference Text]])-LEN(SUBSTITUTE(Table_NamedRanges[[#This Row],[Reference Text]],",","")))/LEN(",")</f>
        <v>0</v>
      </c>
      <c r="K172" s="20" t="str">
        <f>IF(Table_NamedRanges[[#This Row],[Starts with '']]=FALSE,"Other",IF(AND(Table_NamedRanges[[#This Row],[Count of Colon ":"]]=0,Table_NamedRanges[[#This Row],[Count of ","]]=0),"Single Cell",IF(Table_NamedRanges[[#This Row],[Count of Colon ":"]]=1,"Single Range", "Multiple (Cell or Range)")))</f>
        <v>Single Cell</v>
      </c>
    </row>
    <row r="173" spans="2:11" x14ac:dyDescent="0.25">
      <c r="B173" s="6" t="s">
        <v>609</v>
      </c>
      <c r="C173" s="8" t="s">
        <v>974</v>
      </c>
      <c r="D173" s="18">
        <f ca="1">IFERROR(INDIRECT(Table_NamedRanges[[#This Row],[Named Range Paste]]),"Undefined/Error")</f>
        <v>0</v>
      </c>
      <c r="E173" s="18" t="str">
        <f>Table_NamedRanges[[#This Row],[Reference Paste]]</f>
        <v>='Travel Expense Summary'!$Y$34</v>
      </c>
      <c r="F173" s="18" t="b">
        <f ca="1">ISERROR(VLOOKUP(Table_NamedRanges[[#This Row],[Named Range Paste]],OFFSET(INDEX(Table_ErrorList[],1,1),0,MATCH(Table_ErrorList[[#Headers],[Attention To Named Range]],Table_ErrorList[#Headers],0)-1,ROWS(Table_ErrorList[]),1),1,FALSE))=FALSE</f>
        <v>1</v>
      </c>
      <c r="G173" s="20" t="b">
        <f>MID(Table_NamedRanges[[#This Row],[Reference Text]],2,1)="'"</f>
        <v>1</v>
      </c>
      <c r="H173" s="20">
        <f>(LEN(Table_NamedRanges[[#This Row],[Reference Text]])-LEN(SUBSTITUTE(Table_NamedRanges[[#This Row],[Reference Text]],":","")))/LEN(":")</f>
        <v>0</v>
      </c>
      <c r="I173" s="20" t="b">
        <f>OR(ISERROR(FIND("[",Table_NamedRanges[[#This Row],[Reference Text]],1))=FALSE,ISERROR(FIND("]",Table_NamedRanges[[#This Row],[Reference Text]],1))=FALSE)</f>
        <v>0</v>
      </c>
      <c r="J173" s="20">
        <f>(LEN(Table_NamedRanges[[#This Row],[Reference Text]])-LEN(SUBSTITUTE(Table_NamedRanges[[#This Row],[Reference Text]],",","")))/LEN(",")</f>
        <v>0</v>
      </c>
      <c r="K173" s="20" t="str">
        <f>IF(Table_NamedRanges[[#This Row],[Starts with '']]=FALSE,"Other",IF(AND(Table_NamedRanges[[#This Row],[Count of Colon ":"]]=0,Table_NamedRanges[[#This Row],[Count of ","]]=0),"Single Cell",IF(Table_NamedRanges[[#This Row],[Count of Colon ":"]]=1,"Single Range", "Multiple (Cell or Range)")))</f>
        <v>Single Cell</v>
      </c>
    </row>
    <row r="174" spans="2:11" x14ac:dyDescent="0.25">
      <c r="B174" s="6" t="s">
        <v>632</v>
      </c>
      <c r="C174" s="8" t="s">
        <v>975</v>
      </c>
      <c r="D174" s="18">
        <f ca="1">IFERROR(INDIRECT(Table_NamedRanges[[#This Row],[Named Range Paste]]),"Undefined/Error")</f>
        <v>0</v>
      </c>
      <c r="E174" s="18" t="str">
        <f>Table_NamedRanges[[#This Row],[Reference Paste]]</f>
        <v>='Travel Expense Summary'!$Y$35</v>
      </c>
      <c r="F174" s="18" t="b">
        <f ca="1">ISERROR(VLOOKUP(Table_NamedRanges[[#This Row],[Named Range Paste]],OFFSET(INDEX(Table_ErrorList[],1,1),0,MATCH(Table_ErrorList[[#Headers],[Attention To Named Range]],Table_ErrorList[#Headers],0)-1,ROWS(Table_ErrorList[]),1),1,FALSE))=FALSE</f>
        <v>1</v>
      </c>
      <c r="G174" s="20" t="b">
        <f>MID(Table_NamedRanges[[#This Row],[Reference Text]],2,1)="'"</f>
        <v>1</v>
      </c>
      <c r="H174" s="20">
        <f>(LEN(Table_NamedRanges[[#This Row],[Reference Text]])-LEN(SUBSTITUTE(Table_NamedRanges[[#This Row],[Reference Text]],":","")))/LEN(":")</f>
        <v>0</v>
      </c>
      <c r="I174" s="20" t="b">
        <f>OR(ISERROR(FIND("[",Table_NamedRanges[[#This Row],[Reference Text]],1))=FALSE,ISERROR(FIND("]",Table_NamedRanges[[#This Row],[Reference Text]],1))=FALSE)</f>
        <v>0</v>
      </c>
      <c r="J174" s="20">
        <f>(LEN(Table_NamedRanges[[#This Row],[Reference Text]])-LEN(SUBSTITUTE(Table_NamedRanges[[#This Row],[Reference Text]],",","")))/LEN(",")</f>
        <v>0</v>
      </c>
      <c r="K174" s="20" t="str">
        <f>IF(Table_NamedRanges[[#This Row],[Starts with '']]=FALSE,"Other",IF(AND(Table_NamedRanges[[#This Row],[Count of Colon ":"]]=0,Table_NamedRanges[[#This Row],[Count of ","]]=0),"Single Cell",IF(Table_NamedRanges[[#This Row],[Count of Colon ":"]]=1,"Single Range", "Multiple (Cell or Range)")))</f>
        <v>Single Cell</v>
      </c>
    </row>
    <row r="175" spans="2:11" x14ac:dyDescent="0.25">
      <c r="B175" s="6" t="s">
        <v>655</v>
      </c>
      <c r="C175" s="8" t="s">
        <v>976</v>
      </c>
      <c r="D175" s="18">
        <f ca="1">IFERROR(INDIRECT(Table_NamedRanges[[#This Row],[Named Range Paste]]),"Undefined/Error")</f>
        <v>0</v>
      </c>
      <c r="E175" s="18" t="str">
        <f>Table_NamedRanges[[#This Row],[Reference Paste]]</f>
        <v>='Travel Expense Summary'!$Y$36</v>
      </c>
      <c r="F175" s="18" t="b">
        <f ca="1">ISERROR(VLOOKUP(Table_NamedRanges[[#This Row],[Named Range Paste]],OFFSET(INDEX(Table_ErrorList[],1,1),0,MATCH(Table_ErrorList[[#Headers],[Attention To Named Range]],Table_ErrorList[#Headers],0)-1,ROWS(Table_ErrorList[]),1),1,FALSE))=FALSE</f>
        <v>1</v>
      </c>
      <c r="G175" s="20" t="b">
        <f>MID(Table_NamedRanges[[#This Row],[Reference Text]],2,1)="'"</f>
        <v>1</v>
      </c>
      <c r="H175" s="20">
        <f>(LEN(Table_NamedRanges[[#This Row],[Reference Text]])-LEN(SUBSTITUTE(Table_NamedRanges[[#This Row],[Reference Text]],":","")))/LEN(":")</f>
        <v>0</v>
      </c>
      <c r="I175" s="20" t="b">
        <f>OR(ISERROR(FIND("[",Table_NamedRanges[[#This Row],[Reference Text]],1))=FALSE,ISERROR(FIND("]",Table_NamedRanges[[#This Row],[Reference Text]],1))=FALSE)</f>
        <v>0</v>
      </c>
      <c r="J175" s="20">
        <f>(LEN(Table_NamedRanges[[#This Row],[Reference Text]])-LEN(SUBSTITUTE(Table_NamedRanges[[#This Row],[Reference Text]],",","")))/LEN(",")</f>
        <v>0</v>
      </c>
      <c r="K175" s="20" t="str">
        <f>IF(Table_NamedRanges[[#This Row],[Starts with '']]=FALSE,"Other",IF(AND(Table_NamedRanges[[#This Row],[Count of Colon ":"]]=0,Table_NamedRanges[[#This Row],[Count of ","]]=0),"Single Cell",IF(Table_NamedRanges[[#This Row],[Count of Colon ":"]]=1,"Single Range", "Multiple (Cell or Range)")))</f>
        <v>Single Cell</v>
      </c>
    </row>
    <row r="176" spans="2:11" x14ac:dyDescent="0.25">
      <c r="B176" s="6" t="s">
        <v>678</v>
      </c>
      <c r="C176" s="8" t="s">
        <v>977</v>
      </c>
      <c r="D176" s="18">
        <f ca="1">IFERROR(INDIRECT(Table_NamedRanges[[#This Row],[Named Range Paste]]),"Undefined/Error")</f>
        <v>0</v>
      </c>
      <c r="E176" s="18" t="str">
        <f>Table_NamedRanges[[#This Row],[Reference Paste]]</f>
        <v>='Travel Expense Summary'!$Y$37</v>
      </c>
      <c r="F176" s="18" t="b">
        <f ca="1">ISERROR(VLOOKUP(Table_NamedRanges[[#This Row],[Named Range Paste]],OFFSET(INDEX(Table_ErrorList[],1,1),0,MATCH(Table_ErrorList[[#Headers],[Attention To Named Range]],Table_ErrorList[#Headers],0)-1,ROWS(Table_ErrorList[]),1),1,FALSE))=FALSE</f>
        <v>1</v>
      </c>
      <c r="G176" s="20" t="b">
        <f>MID(Table_NamedRanges[[#This Row],[Reference Text]],2,1)="'"</f>
        <v>1</v>
      </c>
      <c r="H176" s="20">
        <f>(LEN(Table_NamedRanges[[#This Row],[Reference Text]])-LEN(SUBSTITUTE(Table_NamedRanges[[#This Row],[Reference Text]],":","")))/LEN(":")</f>
        <v>0</v>
      </c>
      <c r="I176" s="20" t="b">
        <f>OR(ISERROR(FIND("[",Table_NamedRanges[[#This Row],[Reference Text]],1))=FALSE,ISERROR(FIND("]",Table_NamedRanges[[#This Row],[Reference Text]],1))=FALSE)</f>
        <v>0</v>
      </c>
      <c r="J176" s="20">
        <f>(LEN(Table_NamedRanges[[#This Row],[Reference Text]])-LEN(SUBSTITUTE(Table_NamedRanges[[#This Row],[Reference Text]],",","")))/LEN(",")</f>
        <v>0</v>
      </c>
      <c r="K176" s="20" t="str">
        <f>IF(Table_NamedRanges[[#This Row],[Starts with '']]=FALSE,"Other",IF(AND(Table_NamedRanges[[#This Row],[Count of Colon ":"]]=0,Table_NamedRanges[[#This Row],[Count of ","]]=0),"Single Cell",IF(Table_NamedRanges[[#This Row],[Count of Colon ":"]]=1,"Single Range", "Multiple (Cell or Range)")))</f>
        <v>Single Cell</v>
      </c>
    </row>
    <row r="177" spans="2:11" x14ac:dyDescent="0.25">
      <c r="B177" s="6" t="s">
        <v>440</v>
      </c>
      <c r="C177" s="8" t="s">
        <v>978</v>
      </c>
      <c r="D177" s="18">
        <f ca="1">IFERROR(INDIRECT(Table_NamedRanges[[#This Row],[Named Range Paste]]),"Undefined/Error")</f>
        <v>400</v>
      </c>
      <c r="E177" s="18" t="str">
        <f>Table_NamedRanges[[#This Row],[Reference Paste]]</f>
        <v>='Travel Expense Summary'!$X$27</v>
      </c>
      <c r="F177" s="18" t="b">
        <f ca="1">ISERROR(VLOOKUP(Table_NamedRanges[[#This Row],[Named Range Paste]],OFFSET(INDEX(Table_ErrorList[],1,1),0,MATCH(Table_ErrorList[[#Headers],[Attention To Named Range]],Table_ErrorList[#Headers],0)-1,ROWS(Table_ErrorList[]),1),1,FALSE))=FALSE</f>
        <v>1</v>
      </c>
      <c r="G177" s="20" t="b">
        <f>MID(Table_NamedRanges[[#This Row],[Reference Text]],2,1)="'"</f>
        <v>1</v>
      </c>
      <c r="H177" s="20">
        <f>(LEN(Table_NamedRanges[[#This Row],[Reference Text]])-LEN(SUBSTITUTE(Table_NamedRanges[[#This Row],[Reference Text]],":","")))/LEN(":")</f>
        <v>0</v>
      </c>
      <c r="I177" s="20" t="b">
        <f>OR(ISERROR(FIND("[",Table_NamedRanges[[#This Row],[Reference Text]],1))=FALSE,ISERROR(FIND("]",Table_NamedRanges[[#This Row],[Reference Text]],1))=FALSE)</f>
        <v>0</v>
      </c>
      <c r="J177" s="20">
        <f>(LEN(Table_NamedRanges[[#This Row],[Reference Text]])-LEN(SUBSTITUTE(Table_NamedRanges[[#This Row],[Reference Text]],",","")))/LEN(",")</f>
        <v>0</v>
      </c>
      <c r="K177" s="20" t="str">
        <f>IF(Table_NamedRanges[[#This Row],[Starts with '']]=FALSE,"Other",IF(AND(Table_NamedRanges[[#This Row],[Count of Colon ":"]]=0,Table_NamedRanges[[#This Row],[Count of ","]]=0),"Single Cell",IF(Table_NamedRanges[[#This Row],[Count of Colon ":"]]=1,"Single Range", "Multiple (Cell or Range)")))</f>
        <v>Single Cell</v>
      </c>
    </row>
    <row r="178" spans="2:11" x14ac:dyDescent="0.25">
      <c r="B178" s="6" t="s">
        <v>466</v>
      </c>
      <c r="C178" s="8" t="s">
        <v>979</v>
      </c>
      <c r="D178" s="18">
        <f ca="1">IFERROR(INDIRECT(Table_NamedRanges[[#This Row],[Named Range Paste]]),"Undefined/Error")</f>
        <v>128</v>
      </c>
      <c r="E178" s="18" t="str">
        <f>Table_NamedRanges[[#This Row],[Reference Paste]]</f>
        <v>='Travel Expense Summary'!$X$28</v>
      </c>
      <c r="F178" s="18" t="b">
        <f ca="1">ISERROR(VLOOKUP(Table_NamedRanges[[#This Row],[Named Range Paste]],OFFSET(INDEX(Table_ErrorList[],1,1),0,MATCH(Table_ErrorList[[#Headers],[Attention To Named Range]],Table_ErrorList[#Headers],0)-1,ROWS(Table_ErrorList[]),1),1,FALSE))=FALSE</f>
        <v>1</v>
      </c>
      <c r="G178" s="20" t="b">
        <f>MID(Table_NamedRanges[[#This Row],[Reference Text]],2,1)="'"</f>
        <v>1</v>
      </c>
      <c r="H178" s="20">
        <f>(LEN(Table_NamedRanges[[#This Row],[Reference Text]])-LEN(SUBSTITUTE(Table_NamedRanges[[#This Row],[Reference Text]],":","")))/LEN(":")</f>
        <v>0</v>
      </c>
      <c r="I178" s="20" t="b">
        <f>OR(ISERROR(FIND("[",Table_NamedRanges[[#This Row],[Reference Text]],1))=FALSE,ISERROR(FIND("]",Table_NamedRanges[[#This Row],[Reference Text]],1))=FALSE)</f>
        <v>0</v>
      </c>
      <c r="J178" s="20">
        <f>(LEN(Table_NamedRanges[[#This Row],[Reference Text]])-LEN(SUBSTITUTE(Table_NamedRanges[[#This Row],[Reference Text]],",","")))/LEN(",")</f>
        <v>0</v>
      </c>
      <c r="K178" s="20" t="str">
        <f>IF(Table_NamedRanges[[#This Row],[Starts with '']]=FALSE,"Other",IF(AND(Table_NamedRanges[[#This Row],[Count of Colon ":"]]=0,Table_NamedRanges[[#This Row],[Count of ","]]=0),"Single Cell",IF(Table_NamedRanges[[#This Row],[Count of Colon ":"]]=1,"Single Range", "Multiple (Cell or Range)")))</f>
        <v>Single Cell</v>
      </c>
    </row>
    <row r="179" spans="2:11" x14ac:dyDescent="0.25">
      <c r="B179" s="6" t="s">
        <v>491</v>
      </c>
      <c r="C179" s="8" t="s">
        <v>980</v>
      </c>
      <c r="D179" s="18">
        <f ca="1">IFERROR(INDIRECT(Table_NamedRanges[[#This Row],[Named Range Paste]]),"Undefined/Error")</f>
        <v>0</v>
      </c>
      <c r="E179" s="18" t="str">
        <f>Table_NamedRanges[[#This Row],[Reference Paste]]</f>
        <v>='Travel Expense Summary'!$X$29</v>
      </c>
      <c r="F179" s="18" t="b">
        <f ca="1">ISERROR(VLOOKUP(Table_NamedRanges[[#This Row],[Named Range Paste]],OFFSET(INDEX(Table_ErrorList[],1,1),0,MATCH(Table_ErrorList[[#Headers],[Attention To Named Range]],Table_ErrorList[#Headers],0)-1,ROWS(Table_ErrorList[]),1),1,FALSE))=FALSE</f>
        <v>1</v>
      </c>
      <c r="G179" s="20" t="b">
        <f>MID(Table_NamedRanges[[#This Row],[Reference Text]],2,1)="'"</f>
        <v>1</v>
      </c>
      <c r="H179" s="20">
        <f>(LEN(Table_NamedRanges[[#This Row],[Reference Text]])-LEN(SUBSTITUTE(Table_NamedRanges[[#This Row],[Reference Text]],":","")))/LEN(":")</f>
        <v>0</v>
      </c>
      <c r="I179" s="20" t="b">
        <f>OR(ISERROR(FIND("[",Table_NamedRanges[[#This Row],[Reference Text]],1))=FALSE,ISERROR(FIND("]",Table_NamedRanges[[#This Row],[Reference Text]],1))=FALSE)</f>
        <v>0</v>
      </c>
      <c r="J179" s="20">
        <f>(LEN(Table_NamedRanges[[#This Row],[Reference Text]])-LEN(SUBSTITUTE(Table_NamedRanges[[#This Row],[Reference Text]],",","")))/LEN(",")</f>
        <v>0</v>
      </c>
      <c r="K179" s="20" t="str">
        <f>IF(Table_NamedRanges[[#This Row],[Starts with '']]=FALSE,"Other",IF(AND(Table_NamedRanges[[#This Row],[Count of Colon ":"]]=0,Table_NamedRanges[[#This Row],[Count of ","]]=0),"Single Cell",IF(Table_NamedRanges[[#This Row],[Count of Colon ":"]]=1,"Single Range", "Multiple (Cell or Range)")))</f>
        <v>Single Cell</v>
      </c>
    </row>
    <row r="180" spans="2:11" x14ac:dyDescent="0.25">
      <c r="B180" s="6" t="s">
        <v>514</v>
      </c>
      <c r="C180" s="8" t="s">
        <v>981</v>
      </c>
      <c r="D180" s="18">
        <f ca="1">IFERROR(INDIRECT(Table_NamedRanges[[#This Row],[Named Range Paste]]),"Undefined/Error")</f>
        <v>128</v>
      </c>
      <c r="E180" s="18" t="str">
        <f>Table_NamedRanges[[#This Row],[Reference Paste]]</f>
        <v>='Travel Expense Summary'!$X$30</v>
      </c>
      <c r="F180" s="18" t="b">
        <f ca="1">ISERROR(VLOOKUP(Table_NamedRanges[[#This Row],[Named Range Paste]],OFFSET(INDEX(Table_ErrorList[],1,1),0,MATCH(Table_ErrorList[[#Headers],[Attention To Named Range]],Table_ErrorList[#Headers],0)-1,ROWS(Table_ErrorList[]),1),1,FALSE))=FALSE</f>
        <v>1</v>
      </c>
      <c r="G180" s="20" t="b">
        <f>MID(Table_NamedRanges[[#This Row],[Reference Text]],2,1)="'"</f>
        <v>1</v>
      </c>
      <c r="H180" s="20">
        <f>(LEN(Table_NamedRanges[[#This Row],[Reference Text]])-LEN(SUBSTITUTE(Table_NamedRanges[[#This Row],[Reference Text]],":","")))/LEN(":")</f>
        <v>0</v>
      </c>
      <c r="I180" s="20" t="b">
        <f>OR(ISERROR(FIND("[",Table_NamedRanges[[#This Row],[Reference Text]],1))=FALSE,ISERROR(FIND("]",Table_NamedRanges[[#This Row],[Reference Text]],1))=FALSE)</f>
        <v>0</v>
      </c>
      <c r="J180" s="20">
        <f>(LEN(Table_NamedRanges[[#This Row],[Reference Text]])-LEN(SUBSTITUTE(Table_NamedRanges[[#This Row],[Reference Text]],",","")))/LEN(",")</f>
        <v>0</v>
      </c>
      <c r="K180" s="20" t="str">
        <f>IF(Table_NamedRanges[[#This Row],[Starts with '']]=FALSE,"Other",IF(AND(Table_NamedRanges[[#This Row],[Count of Colon ":"]]=0,Table_NamedRanges[[#This Row],[Count of ","]]=0),"Single Cell",IF(Table_NamedRanges[[#This Row],[Count of Colon ":"]]=1,"Single Range", "Multiple (Cell or Range)")))</f>
        <v>Single Cell</v>
      </c>
    </row>
    <row r="181" spans="2:11" x14ac:dyDescent="0.25">
      <c r="B181" s="6" t="s">
        <v>537</v>
      </c>
      <c r="C181" s="8" t="s">
        <v>982</v>
      </c>
      <c r="D181" s="18">
        <f ca="1">IFERROR(INDIRECT(Table_NamedRanges[[#This Row],[Named Range Paste]]),"Undefined/Error")</f>
        <v>0</v>
      </c>
      <c r="E181" s="18" t="str">
        <f>Table_NamedRanges[[#This Row],[Reference Paste]]</f>
        <v>='Travel Expense Summary'!$X$31</v>
      </c>
      <c r="F181" s="18" t="b">
        <f ca="1">ISERROR(VLOOKUP(Table_NamedRanges[[#This Row],[Named Range Paste]],OFFSET(INDEX(Table_ErrorList[],1,1),0,MATCH(Table_ErrorList[[#Headers],[Attention To Named Range]],Table_ErrorList[#Headers],0)-1,ROWS(Table_ErrorList[]),1),1,FALSE))=FALSE</f>
        <v>1</v>
      </c>
      <c r="G181" s="20" t="b">
        <f>MID(Table_NamedRanges[[#This Row],[Reference Text]],2,1)="'"</f>
        <v>1</v>
      </c>
      <c r="H181" s="20">
        <f>(LEN(Table_NamedRanges[[#This Row],[Reference Text]])-LEN(SUBSTITUTE(Table_NamedRanges[[#This Row],[Reference Text]],":","")))/LEN(":")</f>
        <v>0</v>
      </c>
      <c r="I181" s="20" t="b">
        <f>OR(ISERROR(FIND("[",Table_NamedRanges[[#This Row],[Reference Text]],1))=FALSE,ISERROR(FIND("]",Table_NamedRanges[[#This Row],[Reference Text]],1))=FALSE)</f>
        <v>0</v>
      </c>
      <c r="J181" s="20">
        <f>(LEN(Table_NamedRanges[[#This Row],[Reference Text]])-LEN(SUBSTITUTE(Table_NamedRanges[[#This Row],[Reference Text]],",","")))/LEN(",")</f>
        <v>0</v>
      </c>
      <c r="K181" s="20" t="str">
        <f>IF(Table_NamedRanges[[#This Row],[Starts with '']]=FALSE,"Other",IF(AND(Table_NamedRanges[[#This Row],[Count of Colon ":"]]=0,Table_NamedRanges[[#This Row],[Count of ","]]=0),"Single Cell",IF(Table_NamedRanges[[#This Row],[Count of Colon ":"]]=1,"Single Range", "Multiple (Cell or Range)")))</f>
        <v>Single Cell</v>
      </c>
    </row>
    <row r="182" spans="2:11" x14ac:dyDescent="0.25">
      <c r="B182" s="6" t="s">
        <v>560</v>
      </c>
      <c r="C182" s="8" t="s">
        <v>983</v>
      </c>
      <c r="D182" s="18">
        <f ca="1">IFERROR(INDIRECT(Table_NamedRanges[[#This Row],[Named Range Paste]]),"Undefined/Error")</f>
        <v>0</v>
      </c>
      <c r="E182" s="18" t="str">
        <f>Table_NamedRanges[[#This Row],[Reference Paste]]</f>
        <v>='Travel Expense Summary'!$X$32</v>
      </c>
      <c r="F182" s="18" t="b">
        <f ca="1">ISERROR(VLOOKUP(Table_NamedRanges[[#This Row],[Named Range Paste]],OFFSET(INDEX(Table_ErrorList[],1,1),0,MATCH(Table_ErrorList[[#Headers],[Attention To Named Range]],Table_ErrorList[#Headers],0)-1,ROWS(Table_ErrorList[]),1),1,FALSE))=FALSE</f>
        <v>1</v>
      </c>
      <c r="G182" s="20" t="b">
        <f>MID(Table_NamedRanges[[#This Row],[Reference Text]],2,1)="'"</f>
        <v>1</v>
      </c>
      <c r="H182" s="20">
        <f>(LEN(Table_NamedRanges[[#This Row],[Reference Text]])-LEN(SUBSTITUTE(Table_NamedRanges[[#This Row],[Reference Text]],":","")))/LEN(":")</f>
        <v>0</v>
      </c>
      <c r="I182" s="20" t="b">
        <f>OR(ISERROR(FIND("[",Table_NamedRanges[[#This Row],[Reference Text]],1))=FALSE,ISERROR(FIND("]",Table_NamedRanges[[#This Row],[Reference Text]],1))=FALSE)</f>
        <v>0</v>
      </c>
      <c r="J182" s="20">
        <f>(LEN(Table_NamedRanges[[#This Row],[Reference Text]])-LEN(SUBSTITUTE(Table_NamedRanges[[#This Row],[Reference Text]],",","")))/LEN(",")</f>
        <v>0</v>
      </c>
      <c r="K182" s="20" t="str">
        <f>IF(Table_NamedRanges[[#This Row],[Starts with '']]=FALSE,"Other",IF(AND(Table_NamedRanges[[#This Row],[Count of Colon ":"]]=0,Table_NamedRanges[[#This Row],[Count of ","]]=0),"Single Cell",IF(Table_NamedRanges[[#This Row],[Count of Colon ":"]]=1,"Single Range", "Multiple (Cell or Range)")))</f>
        <v>Single Cell</v>
      </c>
    </row>
    <row r="183" spans="2:11" x14ac:dyDescent="0.25">
      <c r="B183" s="6" t="s">
        <v>583</v>
      </c>
      <c r="C183" s="8" t="s">
        <v>984</v>
      </c>
      <c r="D183" s="18">
        <f ca="1">IFERROR(INDIRECT(Table_NamedRanges[[#This Row],[Named Range Paste]]),"Undefined/Error")</f>
        <v>0</v>
      </c>
      <c r="E183" s="18" t="str">
        <f>Table_NamedRanges[[#This Row],[Reference Paste]]</f>
        <v>='Travel Expense Summary'!$X$33</v>
      </c>
      <c r="F183" s="18" t="b">
        <f ca="1">ISERROR(VLOOKUP(Table_NamedRanges[[#This Row],[Named Range Paste]],OFFSET(INDEX(Table_ErrorList[],1,1),0,MATCH(Table_ErrorList[[#Headers],[Attention To Named Range]],Table_ErrorList[#Headers],0)-1,ROWS(Table_ErrorList[]),1),1,FALSE))=FALSE</f>
        <v>1</v>
      </c>
      <c r="G183" s="20" t="b">
        <f>MID(Table_NamedRanges[[#This Row],[Reference Text]],2,1)="'"</f>
        <v>1</v>
      </c>
      <c r="H183" s="20">
        <f>(LEN(Table_NamedRanges[[#This Row],[Reference Text]])-LEN(SUBSTITUTE(Table_NamedRanges[[#This Row],[Reference Text]],":","")))/LEN(":")</f>
        <v>0</v>
      </c>
      <c r="I183" s="20" t="b">
        <f>OR(ISERROR(FIND("[",Table_NamedRanges[[#This Row],[Reference Text]],1))=FALSE,ISERROR(FIND("]",Table_NamedRanges[[#This Row],[Reference Text]],1))=FALSE)</f>
        <v>0</v>
      </c>
      <c r="J183" s="20">
        <f>(LEN(Table_NamedRanges[[#This Row],[Reference Text]])-LEN(SUBSTITUTE(Table_NamedRanges[[#This Row],[Reference Text]],",","")))/LEN(",")</f>
        <v>0</v>
      </c>
      <c r="K183" s="20" t="str">
        <f>IF(Table_NamedRanges[[#This Row],[Starts with '']]=FALSE,"Other",IF(AND(Table_NamedRanges[[#This Row],[Count of Colon ":"]]=0,Table_NamedRanges[[#This Row],[Count of ","]]=0),"Single Cell",IF(Table_NamedRanges[[#This Row],[Count of Colon ":"]]=1,"Single Range", "Multiple (Cell or Range)")))</f>
        <v>Single Cell</v>
      </c>
    </row>
    <row r="184" spans="2:11" x14ac:dyDescent="0.25">
      <c r="B184" s="6" t="s">
        <v>606</v>
      </c>
      <c r="C184" s="8" t="s">
        <v>985</v>
      </c>
      <c r="D184" s="18">
        <f ca="1">IFERROR(INDIRECT(Table_NamedRanges[[#This Row],[Named Range Paste]]),"Undefined/Error")</f>
        <v>0</v>
      </c>
      <c r="E184" s="18" t="str">
        <f>Table_NamedRanges[[#This Row],[Reference Paste]]</f>
        <v>='Travel Expense Summary'!$X$34</v>
      </c>
      <c r="F184" s="18" t="b">
        <f ca="1">ISERROR(VLOOKUP(Table_NamedRanges[[#This Row],[Named Range Paste]],OFFSET(INDEX(Table_ErrorList[],1,1),0,MATCH(Table_ErrorList[[#Headers],[Attention To Named Range]],Table_ErrorList[#Headers],0)-1,ROWS(Table_ErrorList[]),1),1,FALSE))=FALSE</f>
        <v>1</v>
      </c>
      <c r="G184" s="20" t="b">
        <f>MID(Table_NamedRanges[[#This Row],[Reference Text]],2,1)="'"</f>
        <v>1</v>
      </c>
      <c r="H184" s="20">
        <f>(LEN(Table_NamedRanges[[#This Row],[Reference Text]])-LEN(SUBSTITUTE(Table_NamedRanges[[#This Row],[Reference Text]],":","")))/LEN(":")</f>
        <v>0</v>
      </c>
      <c r="I184" s="20" t="b">
        <f>OR(ISERROR(FIND("[",Table_NamedRanges[[#This Row],[Reference Text]],1))=FALSE,ISERROR(FIND("]",Table_NamedRanges[[#This Row],[Reference Text]],1))=FALSE)</f>
        <v>0</v>
      </c>
      <c r="J184" s="20">
        <f>(LEN(Table_NamedRanges[[#This Row],[Reference Text]])-LEN(SUBSTITUTE(Table_NamedRanges[[#This Row],[Reference Text]],",","")))/LEN(",")</f>
        <v>0</v>
      </c>
      <c r="K184" s="20" t="str">
        <f>IF(Table_NamedRanges[[#This Row],[Starts with '']]=FALSE,"Other",IF(AND(Table_NamedRanges[[#This Row],[Count of Colon ":"]]=0,Table_NamedRanges[[#This Row],[Count of ","]]=0),"Single Cell",IF(Table_NamedRanges[[#This Row],[Count of Colon ":"]]=1,"Single Range", "Multiple (Cell or Range)")))</f>
        <v>Single Cell</v>
      </c>
    </row>
    <row r="185" spans="2:11" x14ac:dyDescent="0.25">
      <c r="B185" s="6" t="s">
        <v>629</v>
      </c>
      <c r="C185" s="8" t="s">
        <v>986</v>
      </c>
      <c r="D185" s="18">
        <f ca="1">IFERROR(INDIRECT(Table_NamedRanges[[#This Row],[Named Range Paste]]),"Undefined/Error")</f>
        <v>0</v>
      </c>
      <c r="E185" s="18" t="str">
        <f>Table_NamedRanges[[#This Row],[Reference Paste]]</f>
        <v>='Travel Expense Summary'!$X$35</v>
      </c>
      <c r="F185" s="18" t="b">
        <f ca="1">ISERROR(VLOOKUP(Table_NamedRanges[[#This Row],[Named Range Paste]],OFFSET(INDEX(Table_ErrorList[],1,1),0,MATCH(Table_ErrorList[[#Headers],[Attention To Named Range]],Table_ErrorList[#Headers],0)-1,ROWS(Table_ErrorList[]),1),1,FALSE))=FALSE</f>
        <v>1</v>
      </c>
      <c r="G185" s="20" t="b">
        <f>MID(Table_NamedRanges[[#This Row],[Reference Text]],2,1)="'"</f>
        <v>1</v>
      </c>
      <c r="H185" s="20">
        <f>(LEN(Table_NamedRanges[[#This Row],[Reference Text]])-LEN(SUBSTITUTE(Table_NamedRanges[[#This Row],[Reference Text]],":","")))/LEN(":")</f>
        <v>0</v>
      </c>
      <c r="I185" s="20" t="b">
        <f>OR(ISERROR(FIND("[",Table_NamedRanges[[#This Row],[Reference Text]],1))=FALSE,ISERROR(FIND("]",Table_NamedRanges[[#This Row],[Reference Text]],1))=FALSE)</f>
        <v>0</v>
      </c>
      <c r="J185" s="20">
        <f>(LEN(Table_NamedRanges[[#This Row],[Reference Text]])-LEN(SUBSTITUTE(Table_NamedRanges[[#This Row],[Reference Text]],",","")))/LEN(",")</f>
        <v>0</v>
      </c>
      <c r="K185" s="20" t="str">
        <f>IF(Table_NamedRanges[[#This Row],[Starts with '']]=FALSE,"Other",IF(AND(Table_NamedRanges[[#This Row],[Count of Colon ":"]]=0,Table_NamedRanges[[#This Row],[Count of ","]]=0),"Single Cell",IF(Table_NamedRanges[[#This Row],[Count of Colon ":"]]=1,"Single Range", "Multiple (Cell or Range)")))</f>
        <v>Single Cell</v>
      </c>
    </row>
    <row r="186" spans="2:11" x14ac:dyDescent="0.25">
      <c r="B186" s="6" t="s">
        <v>652</v>
      </c>
      <c r="C186" s="8" t="s">
        <v>987</v>
      </c>
      <c r="D186" s="18">
        <f ca="1">IFERROR(INDIRECT(Table_NamedRanges[[#This Row],[Named Range Paste]]),"Undefined/Error")</f>
        <v>0</v>
      </c>
      <c r="E186" s="18" t="str">
        <f>Table_NamedRanges[[#This Row],[Reference Paste]]</f>
        <v>='Travel Expense Summary'!$X$36</v>
      </c>
      <c r="F186" s="18" t="b">
        <f ca="1">ISERROR(VLOOKUP(Table_NamedRanges[[#This Row],[Named Range Paste]],OFFSET(INDEX(Table_ErrorList[],1,1),0,MATCH(Table_ErrorList[[#Headers],[Attention To Named Range]],Table_ErrorList[#Headers],0)-1,ROWS(Table_ErrorList[]),1),1,FALSE))=FALSE</f>
        <v>1</v>
      </c>
      <c r="G186" s="20" t="b">
        <f>MID(Table_NamedRanges[[#This Row],[Reference Text]],2,1)="'"</f>
        <v>1</v>
      </c>
      <c r="H186" s="20">
        <f>(LEN(Table_NamedRanges[[#This Row],[Reference Text]])-LEN(SUBSTITUTE(Table_NamedRanges[[#This Row],[Reference Text]],":","")))/LEN(":")</f>
        <v>0</v>
      </c>
      <c r="I186" s="20" t="b">
        <f>OR(ISERROR(FIND("[",Table_NamedRanges[[#This Row],[Reference Text]],1))=FALSE,ISERROR(FIND("]",Table_NamedRanges[[#This Row],[Reference Text]],1))=FALSE)</f>
        <v>0</v>
      </c>
      <c r="J186" s="20">
        <f>(LEN(Table_NamedRanges[[#This Row],[Reference Text]])-LEN(SUBSTITUTE(Table_NamedRanges[[#This Row],[Reference Text]],",","")))/LEN(",")</f>
        <v>0</v>
      </c>
      <c r="K186" s="20" t="str">
        <f>IF(Table_NamedRanges[[#This Row],[Starts with '']]=FALSE,"Other",IF(AND(Table_NamedRanges[[#This Row],[Count of Colon ":"]]=0,Table_NamedRanges[[#This Row],[Count of ","]]=0),"Single Cell",IF(Table_NamedRanges[[#This Row],[Count of Colon ":"]]=1,"Single Range", "Multiple (Cell or Range)")))</f>
        <v>Single Cell</v>
      </c>
    </row>
    <row r="187" spans="2:11" x14ac:dyDescent="0.25">
      <c r="B187" s="6" t="s">
        <v>675</v>
      </c>
      <c r="C187" s="8" t="s">
        <v>988</v>
      </c>
      <c r="D187" s="18">
        <f ca="1">IFERROR(INDIRECT(Table_NamedRanges[[#This Row],[Named Range Paste]]),"Undefined/Error")</f>
        <v>0</v>
      </c>
      <c r="E187" s="18" t="str">
        <f>Table_NamedRanges[[#This Row],[Reference Paste]]</f>
        <v>='Travel Expense Summary'!$X$37</v>
      </c>
      <c r="F187" s="18" t="b">
        <f ca="1">ISERROR(VLOOKUP(Table_NamedRanges[[#This Row],[Named Range Paste]],OFFSET(INDEX(Table_ErrorList[],1,1),0,MATCH(Table_ErrorList[[#Headers],[Attention To Named Range]],Table_ErrorList[#Headers],0)-1,ROWS(Table_ErrorList[]),1),1,FALSE))=FALSE</f>
        <v>1</v>
      </c>
      <c r="G187" s="20" t="b">
        <f>MID(Table_NamedRanges[[#This Row],[Reference Text]],2,1)="'"</f>
        <v>1</v>
      </c>
      <c r="H187" s="20">
        <f>(LEN(Table_NamedRanges[[#This Row],[Reference Text]])-LEN(SUBSTITUTE(Table_NamedRanges[[#This Row],[Reference Text]],":","")))/LEN(":")</f>
        <v>0</v>
      </c>
      <c r="I187" s="20" t="b">
        <f>OR(ISERROR(FIND("[",Table_NamedRanges[[#This Row],[Reference Text]],1))=FALSE,ISERROR(FIND("]",Table_NamedRanges[[#This Row],[Reference Text]],1))=FALSE)</f>
        <v>0</v>
      </c>
      <c r="J187" s="20">
        <f>(LEN(Table_NamedRanges[[#This Row],[Reference Text]])-LEN(SUBSTITUTE(Table_NamedRanges[[#This Row],[Reference Text]],",","")))/LEN(",")</f>
        <v>0</v>
      </c>
      <c r="K187" s="20" t="str">
        <f>IF(Table_NamedRanges[[#This Row],[Starts with '']]=FALSE,"Other",IF(AND(Table_NamedRanges[[#This Row],[Count of Colon ":"]]=0,Table_NamedRanges[[#This Row],[Count of ","]]=0),"Single Cell",IF(Table_NamedRanges[[#This Row],[Count of Colon ":"]]=1,"Single Range", "Multiple (Cell or Range)")))</f>
        <v>Single Cell</v>
      </c>
    </row>
    <row r="188" spans="2:11" x14ac:dyDescent="0.25">
      <c r="B188" s="6" t="s">
        <v>436</v>
      </c>
      <c r="C188" s="8" t="s">
        <v>989</v>
      </c>
      <c r="D188" s="18" t="str">
        <f ca="1">IFERROR(INDIRECT(Table_NamedRanges[[#This Row],[Named Range Paste]]),"Undefined/Error")</f>
        <v>Thunder Bay</v>
      </c>
      <c r="E188" s="18" t="str">
        <f>Table_NamedRanges[[#This Row],[Reference Paste]]</f>
        <v>='Travel Expense Summary'!$T$27</v>
      </c>
      <c r="F188" s="18" t="b">
        <f ca="1">ISERROR(VLOOKUP(Table_NamedRanges[[#This Row],[Named Range Paste]],OFFSET(INDEX(Table_ErrorList[],1,1),0,MATCH(Table_ErrorList[[#Headers],[Attention To Named Range]],Table_ErrorList[#Headers],0)-1,ROWS(Table_ErrorList[]),1),1,FALSE))=FALSE</f>
        <v>1</v>
      </c>
      <c r="G188" s="20" t="b">
        <f>MID(Table_NamedRanges[[#This Row],[Reference Text]],2,1)="'"</f>
        <v>1</v>
      </c>
      <c r="H188" s="20">
        <f>(LEN(Table_NamedRanges[[#This Row],[Reference Text]])-LEN(SUBSTITUTE(Table_NamedRanges[[#This Row],[Reference Text]],":","")))/LEN(":")</f>
        <v>0</v>
      </c>
      <c r="I188" s="20" t="b">
        <f>OR(ISERROR(FIND("[",Table_NamedRanges[[#This Row],[Reference Text]],1))=FALSE,ISERROR(FIND("]",Table_NamedRanges[[#This Row],[Reference Text]],1))=FALSE)</f>
        <v>0</v>
      </c>
      <c r="J188" s="20">
        <f>(LEN(Table_NamedRanges[[#This Row],[Reference Text]])-LEN(SUBSTITUTE(Table_NamedRanges[[#This Row],[Reference Text]],",","")))/LEN(",")</f>
        <v>0</v>
      </c>
      <c r="K188" s="20" t="str">
        <f>IF(Table_NamedRanges[[#This Row],[Starts with '']]=FALSE,"Other",IF(AND(Table_NamedRanges[[#This Row],[Count of Colon ":"]]=0,Table_NamedRanges[[#This Row],[Count of ","]]=0),"Single Cell",IF(Table_NamedRanges[[#This Row],[Count of Colon ":"]]=1,"Single Range", "Multiple (Cell or Range)")))</f>
        <v>Single Cell</v>
      </c>
    </row>
    <row r="189" spans="2:11" x14ac:dyDescent="0.25">
      <c r="B189" s="6" t="s">
        <v>463</v>
      </c>
      <c r="C189" s="8" t="s">
        <v>990</v>
      </c>
      <c r="D189" s="18">
        <f ca="1">IFERROR(INDIRECT(Table_NamedRanges[[#This Row],[Named Range Paste]]),"Undefined/Error")</f>
        <v>0</v>
      </c>
      <c r="E189" s="18" t="str">
        <f>Table_NamedRanges[[#This Row],[Reference Paste]]</f>
        <v>='Travel Expense Summary'!$T$28</v>
      </c>
      <c r="F189" s="18" t="b">
        <f ca="1">ISERROR(VLOOKUP(Table_NamedRanges[[#This Row],[Named Range Paste]],OFFSET(INDEX(Table_ErrorList[],1,1),0,MATCH(Table_ErrorList[[#Headers],[Attention To Named Range]],Table_ErrorList[#Headers],0)-1,ROWS(Table_ErrorList[]),1),1,FALSE))=FALSE</f>
        <v>1</v>
      </c>
      <c r="G189" s="20" t="b">
        <f>MID(Table_NamedRanges[[#This Row],[Reference Text]],2,1)="'"</f>
        <v>1</v>
      </c>
      <c r="H189" s="20">
        <f>(LEN(Table_NamedRanges[[#This Row],[Reference Text]])-LEN(SUBSTITUTE(Table_NamedRanges[[#This Row],[Reference Text]],":","")))/LEN(":")</f>
        <v>0</v>
      </c>
      <c r="I189" s="20" t="b">
        <f>OR(ISERROR(FIND("[",Table_NamedRanges[[#This Row],[Reference Text]],1))=FALSE,ISERROR(FIND("]",Table_NamedRanges[[#This Row],[Reference Text]],1))=FALSE)</f>
        <v>0</v>
      </c>
      <c r="J189" s="20">
        <f>(LEN(Table_NamedRanges[[#This Row],[Reference Text]])-LEN(SUBSTITUTE(Table_NamedRanges[[#This Row],[Reference Text]],",","")))/LEN(",")</f>
        <v>0</v>
      </c>
      <c r="K189" s="20" t="str">
        <f>IF(Table_NamedRanges[[#This Row],[Starts with '']]=FALSE,"Other",IF(AND(Table_NamedRanges[[#This Row],[Count of Colon ":"]]=0,Table_NamedRanges[[#This Row],[Count of ","]]=0),"Single Cell",IF(Table_NamedRanges[[#This Row],[Count of Colon ":"]]=1,"Single Range", "Multiple (Cell or Range)")))</f>
        <v>Single Cell</v>
      </c>
    </row>
    <row r="190" spans="2:11" x14ac:dyDescent="0.25">
      <c r="B190" s="6" t="s">
        <v>488</v>
      </c>
      <c r="C190" s="8" t="s">
        <v>991</v>
      </c>
      <c r="D190" s="18" t="str">
        <f ca="1">IFERROR(INDIRECT(Table_NamedRanges[[#This Row],[Named Range Paste]]),"Undefined/Error")</f>
        <v>Placement</v>
      </c>
      <c r="E190" s="18" t="str">
        <f>Table_NamedRanges[[#This Row],[Reference Paste]]</f>
        <v>='Travel Expense Summary'!$T$29</v>
      </c>
      <c r="F190" s="18" t="b">
        <f ca="1">ISERROR(VLOOKUP(Table_NamedRanges[[#This Row],[Named Range Paste]],OFFSET(INDEX(Table_ErrorList[],1,1),0,MATCH(Table_ErrorList[[#Headers],[Attention To Named Range]],Table_ErrorList[#Headers],0)-1,ROWS(Table_ErrorList[]),1),1,FALSE))=FALSE</f>
        <v>1</v>
      </c>
      <c r="G190" s="20" t="b">
        <f>MID(Table_NamedRanges[[#This Row],[Reference Text]],2,1)="'"</f>
        <v>1</v>
      </c>
      <c r="H190" s="20">
        <f>(LEN(Table_NamedRanges[[#This Row],[Reference Text]])-LEN(SUBSTITUTE(Table_NamedRanges[[#This Row],[Reference Text]],":","")))/LEN(":")</f>
        <v>0</v>
      </c>
      <c r="I190" s="20" t="b">
        <f>OR(ISERROR(FIND("[",Table_NamedRanges[[#This Row],[Reference Text]],1))=FALSE,ISERROR(FIND("]",Table_NamedRanges[[#This Row],[Reference Text]],1))=FALSE)</f>
        <v>0</v>
      </c>
      <c r="J190" s="20">
        <f>(LEN(Table_NamedRanges[[#This Row],[Reference Text]])-LEN(SUBSTITUTE(Table_NamedRanges[[#This Row],[Reference Text]],",","")))/LEN(",")</f>
        <v>0</v>
      </c>
      <c r="K190" s="20" t="str">
        <f>IF(Table_NamedRanges[[#This Row],[Starts with '']]=FALSE,"Other",IF(AND(Table_NamedRanges[[#This Row],[Count of Colon ":"]]=0,Table_NamedRanges[[#This Row],[Count of ","]]=0),"Single Cell",IF(Table_NamedRanges[[#This Row],[Count of Colon ":"]]=1,"Single Range", "Multiple (Cell or Range)")))</f>
        <v>Single Cell</v>
      </c>
    </row>
    <row r="191" spans="2:11" x14ac:dyDescent="0.25">
      <c r="B191" s="6" t="s">
        <v>511</v>
      </c>
      <c r="C191" s="8" t="s">
        <v>992</v>
      </c>
      <c r="D191" s="18">
        <f ca="1">IFERROR(INDIRECT(Table_NamedRanges[[#This Row],[Named Range Paste]]),"Undefined/Error")</f>
        <v>0</v>
      </c>
      <c r="E191" s="18" t="str">
        <f>Table_NamedRanges[[#This Row],[Reference Paste]]</f>
        <v>='Travel Expense Summary'!$T$30</v>
      </c>
      <c r="F191" s="18" t="b">
        <f ca="1">ISERROR(VLOOKUP(Table_NamedRanges[[#This Row],[Named Range Paste]],OFFSET(INDEX(Table_ErrorList[],1,1),0,MATCH(Table_ErrorList[[#Headers],[Attention To Named Range]],Table_ErrorList[#Headers],0)-1,ROWS(Table_ErrorList[]),1),1,FALSE))=FALSE</f>
        <v>1</v>
      </c>
      <c r="G191" s="20" t="b">
        <f>MID(Table_NamedRanges[[#This Row],[Reference Text]],2,1)="'"</f>
        <v>1</v>
      </c>
      <c r="H191" s="20">
        <f>(LEN(Table_NamedRanges[[#This Row],[Reference Text]])-LEN(SUBSTITUTE(Table_NamedRanges[[#This Row],[Reference Text]],":","")))/LEN(":")</f>
        <v>0</v>
      </c>
      <c r="I191" s="20" t="b">
        <f>OR(ISERROR(FIND("[",Table_NamedRanges[[#This Row],[Reference Text]],1))=FALSE,ISERROR(FIND("]",Table_NamedRanges[[#This Row],[Reference Text]],1))=FALSE)</f>
        <v>0</v>
      </c>
      <c r="J191" s="20">
        <f>(LEN(Table_NamedRanges[[#This Row],[Reference Text]])-LEN(SUBSTITUTE(Table_NamedRanges[[#This Row],[Reference Text]],",","")))/LEN(",")</f>
        <v>0</v>
      </c>
      <c r="K191" s="20" t="str">
        <f>IF(Table_NamedRanges[[#This Row],[Starts with '']]=FALSE,"Other",IF(AND(Table_NamedRanges[[#This Row],[Count of Colon ":"]]=0,Table_NamedRanges[[#This Row],[Count of ","]]=0),"Single Cell",IF(Table_NamedRanges[[#This Row],[Count of Colon ":"]]=1,"Single Range", "Multiple (Cell or Range)")))</f>
        <v>Single Cell</v>
      </c>
    </row>
    <row r="192" spans="2:11" x14ac:dyDescent="0.25">
      <c r="B192" s="6" t="s">
        <v>534</v>
      </c>
      <c r="C192" s="8" t="s">
        <v>993</v>
      </c>
      <c r="D192" s="18">
        <f ca="1">IFERROR(INDIRECT(Table_NamedRanges[[#This Row],[Named Range Paste]]),"Undefined/Error")</f>
        <v>0</v>
      </c>
      <c r="E192" s="18" t="str">
        <f>Table_NamedRanges[[#This Row],[Reference Paste]]</f>
        <v>='Travel Expense Summary'!$T$31</v>
      </c>
      <c r="F192" s="18" t="b">
        <f ca="1">ISERROR(VLOOKUP(Table_NamedRanges[[#This Row],[Named Range Paste]],OFFSET(INDEX(Table_ErrorList[],1,1),0,MATCH(Table_ErrorList[[#Headers],[Attention To Named Range]],Table_ErrorList[#Headers],0)-1,ROWS(Table_ErrorList[]),1),1,FALSE))=FALSE</f>
        <v>1</v>
      </c>
      <c r="G192" s="20" t="b">
        <f>MID(Table_NamedRanges[[#This Row],[Reference Text]],2,1)="'"</f>
        <v>1</v>
      </c>
      <c r="H192" s="20">
        <f>(LEN(Table_NamedRanges[[#This Row],[Reference Text]])-LEN(SUBSTITUTE(Table_NamedRanges[[#This Row],[Reference Text]],":","")))/LEN(":")</f>
        <v>0</v>
      </c>
      <c r="I192" s="20" t="b">
        <f>OR(ISERROR(FIND("[",Table_NamedRanges[[#This Row],[Reference Text]],1))=FALSE,ISERROR(FIND("]",Table_NamedRanges[[#This Row],[Reference Text]],1))=FALSE)</f>
        <v>0</v>
      </c>
      <c r="J192" s="20">
        <f>(LEN(Table_NamedRanges[[#This Row],[Reference Text]])-LEN(SUBSTITUTE(Table_NamedRanges[[#This Row],[Reference Text]],",","")))/LEN(",")</f>
        <v>0</v>
      </c>
      <c r="K192" s="20" t="str">
        <f>IF(Table_NamedRanges[[#This Row],[Starts with '']]=FALSE,"Other",IF(AND(Table_NamedRanges[[#This Row],[Count of Colon ":"]]=0,Table_NamedRanges[[#This Row],[Count of ","]]=0),"Single Cell",IF(Table_NamedRanges[[#This Row],[Count of Colon ":"]]=1,"Single Range", "Multiple (Cell or Range)")))</f>
        <v>Single Cell</v>
      </c>
    </row>
    <row r="193" spans="2:11" x14ac:dyDescent="0.25">
      <c r="B193" s="6" t="s">
        <v>557</v>
      </c>
      <c r="C193" s="8" t="s">
        <v>994</v>
      </c>
      <c r="D193" s="18">
        <f ca="1">IFERROR(INDIRECT(Table_NamedRanges[[#This Row],[Named Range Paste]]),"Undefined/Error")</f>
        <v>0</v>
      </c>
      <c r="E193" s="18" t="str">
        <f>Table_NamedRanges[[#This Row],[Reference Paste]]</f>
        <v>='Travel Expense Summary'!$T$32</v>
      </c>
      <c r="F193" s="18" t="b">
        <f ca="1">ISERROR(VLOOKUP(Table_NamedRanges[[#This Row],[Named Range Paste]],OFFSET(INDEX(Table_ErrorList[],1,1),0,MATCH(Table_ErrorList[[#Headers],[Attention To Named Range]],Table_ErrorList[#Headers],0)-1,ROWS(Table_ErrorList[]),1),1,FALSE))=FALSE</f>
        <v>1</v>
      </c>
      <c r="G193" s="20" t="b">
        <f>MID(Table_NamedRanges[[#This Row],[Reference Text]],2,1)="'"</f>
        <v>1</v>
      </c>
      <c r="H193" s="20">
        <f>(LEN(Table_NamedRanges[[#This Row],[Reference Text]])-LEN(SUBSTITUTE(Table_NamedRanges[[#This Row],[Reference Text]],":","")))/LEN(":")</f>
        <v>0</v>
      </c>
      <c r="I193" s="20" t="b">
        <f>OR(ISERROR(FIND("[",Table_NamedRanges[[#This Row],[Reference Text]],1))=FALSE,ISERROR(FIND("]",Table_NamedRanges[[#This Row],[Reference Text]],1))=FALSE)</f>
        <v>0</v>
      </c>
      <c r="J193" s="20">
        <f>(LEN(Table_NamedRanges[[#This Row],[Reference Text]])-LEN(SUBSTITUTE(Table_NamedRanges[[#This Row],[Reference Text]],",","")))/LEN(",")</f>
        <v>0</v>
      </c>
      <c r="K193" s="20" t="str">
        <f>IF(Table_NamedRanges[[#This Row],[Starts with '']]=FALSE,"Other",IF(AND(Table_NamedRanges[[#This Row],[Count of Colon ":"]]=0,Table_NamedRanges[[#This Row],[Count of ","]]=0),"Single Cell",IF(Table_NamedRanges[[#This Row],[Count of Colon ":"]]=1,"Single Range", "Multiple (Cell or Range)")))</f>
        <v>Single Cell</v>
      </c>
    </row>
    <row r="194" spans="2:11" x14ac:dyDescent="0.25">
      <c r="B194" s="6" t="s">
        <v>580</v>
      </c>
      <c r="C194" s="8" t="s">
        <v>995</v>
      </c>
      <c r="D194" s="18">
        <f ca="1">IFERROR(INDIRECT(Table_NamedRanges[[#This Row],[Named Range Paste]]),"Undefined/Error")</f>
        <v>0</v>
      </c>
      <c r="E194" s="18" t="str">
        <f>Table_NamedRanges[[#This Row],[Reference Paste]]</f>
        <v>='Travel Expense Summary'!$T$33</v>
      </c>
      <c r="F194" s="18" t="b">
        <f ca="1">ISERROR(VLOOKUP(Table_NamedRanges[[#This Row],[Named Range Paste]],OFFSET(INDEX(Table_ErrorList[],1,1),0,MATCH(Table_ErrorList[[#Headers],[Attention To Named Range]],Table_ErrorList[#Headers],0)-1,ROWS(Table_ErrorList[]),1),1,FALSE))=FALSE</f>
        <v>1</v>
      </c>
      <c r="G194" s="20" t="b">
        <f>MID(Table_NamedRanges[[#This Row],[Reference Text]],2,1)="'"</f>
        <v>1</v>
      </c>
      <c r="H194" s="20">
        <f>(LEN(Table_NamedRanges[[#This Row],[Reference Text]])-LEN(SUBSTITUTE(Table_NamedRanges[[#This Row],[Reference Text]],":","")))/LEN(":")</f>
        <v>0</v>
      </c>
      <c r="I194" s="20" t="b">
        <f>OR(ISERROR(FIND("[",Table_NamedRanges[[#This Row],[Reference Text]],1))=FALSE,ISERROR(FIND("]",Table_NamedRanges[[#This Row],[Reference Text]],1))=FALSE)</f>
        <v>0</v>
      </c>
      <c r="J194" s="20">
        <f>(LEN(Table_NamedRanges[[#This Row],[Reference Text]])-LEN(SUBSTITUTE(Table_NamedRanges[[#This Row],[Reference Text]],",","")))/LEN(",")</f>
        <v>0</v>
      </c>
      <c r="K194" s="20" t="str">
        <f>IF(Table_NamedRanges[[#This Row],[Starts with '']]=FALSE,"Other",IF(AND(Table_NamedRanges[[#This Row],[Count of Colon ":"]]=0,Table_NamedRanges[[#This Row],[Count of ","]]=0),"Single Cell",IF(Table_NamedRanges[[#This Row],[Count of Colon ":"]]=1,"Single Range", "Multiple (Cell or Range)")))</f>
        <v>Single Cell</v>
      </c>
    </row>
    <row r="195" spans="2:11" x14ac:dyDescent="0.25">
      <c r="B195" s="6" t="s">
        <v>603</v>
      </c>
      <c r="C195" s="8" t="s">
        <v>996</v>
      </c>
      <c r="D195" s="18">
        <f ca="1">IFERROR(INDIRECT(Table_NamedRanges[[#This Row],[Named Range Paste]]),"Undefined/Error")</f>
        <v>0</v>
      </c>
      <c r="E195" s="18" t="str">
        <f>Table_NamedRanges[[#This Row],[Reference Paste]]</f>
        <v>='Travel Expense Summary'!$T$34</v>
      </c>
      <c r="F195" s="18" t="b">
        <f ca="1">ISERROR(VLOOKUP(Table_NamedRanges[[#This Row],[Named Range Paste]],OFFSET(INDEX(Table_ErrorList[],1,1),0,MATCH(Table_ErrorList[[#Headers],[Attention To Named Range]],Table_ErrorList[#Headers],0)-1,ROWS(Table_ErrorList[]),1),1,FALSE))=FALSE</f>
        <v>1</v>
      </c>
      <c r="G195" s="20" t="b">
        <f>MID(Table_NamedRanges[[#This Row],[Reference Text]],2,1)="'"</f>
        <v>1</v>
      </c>
      <c r="H195" s="20">
        <f>(LEN(Table_NamedRanges[[#This Row],[Reference Text]])-LEN(SUBSTITUTE(Table_NamedRanges[[#This Row],[Reference Text]],":","")))/LEN(":")</f>
        <v>0</v>
      </c>
      <c r="I195" s="20" t="b">
        <f>OR(ISERROR(FIND("[",Table_NamedRanges[[#This Row],[Reference Text]],1))=FALSE,ISERROR(FIND("]",Table_NamedRanges[[#This Row],[Reference Text]],1))=FALSE)</f>
        <v>0</v>
      </c>
      <c r="J195" s="20">
        <f>(LEN(Table_NamedRanges[[#This Row],[Reference Text]])-LEN(SUBSTITUTE(Table_NamedRanges[[#This Row],[Reference Text]],",","")))/LEN(",")</f>
        <v>0</v>
      </c>
      <c r="K195" s="20" t="str">
        <f>IF(Table_NamedRanges[[#This Row],[Starts with '']]=FALSE,"Other",IF(AND(Table_NamedRanges[[#This Row],[Count of Colon ":"]]=0,Table_NamedRanges[[#This Row],[Count of ","]]=0),"Single Cell",IF(Table_NamedRanges[[#This Row],[Count of Colon ":"]]=1,"Single Range", "Multiple (Cell or Range)")))</f>
        <v>Single Cell</v>
      </c>
    </row>
    <row r="196" spans="2:11" x14ac:dyDescent="0.25">
      <c r="B196" s="6" t="s">
        <v>626</v>
      </c>
      <c r="C196" s="8" t="s">
        <v>997</v>
      </c>
      <c r="D196" s="18">
        <f ca="1">IFERROR(INDIRECT(Table_NamedRanges[[#This Row],[Named Range Paste]]),"Undefined/Error")</f>
        <v>0</v>
      </c>
      <c r="E196" s="18" t="str">
        <f>Table_NamedRanges[[#This Row],[Reference Paste]]</f>
        <v>='Travel Expense Summary'!$T$35</v>
      </c>
      <c r="F196" s="18" t="b">
        <f ca="1">ISERROR(VLOOKUP(Table_NamedRanges[[#This Row],[Named Range Paste]],OFFSET(INDEX(Table_ErrorList[],1,1),0,MATCH(Table_ErrorList[[#Headers],[Attention To Named Range]],Table_ErrorList[#Headers],0)-1,ROWS(Table_ErrorList[]),1),1,FALSE))=FALSE</f>
        <v>1</v>
      </c>
      <c r="G196" s="20" t="b">
        <f>MID(Table_NamedRanges[[#This Row],[Reference Text]],2,1)="'"</f>
        <v>1</v>
      </c>
      <c r="H196" s="20">
        <f>(LEN(Table_NamedRanges[[#This Row],[Reference Text]])-LEN(SUBSTITUTE(Table_NamedRanges[[#This Row],[Reference Text]],":","")))/LEN(":")</f>
        <v>0</v>
      </c>
      <c r="I196" s="20" t="b">
        <f>OR(ISERROR(FIND("[",Table_NamedRanges[[#This Row],[Reference Text]],1))=FALSE,ISERROR(FIND("]",Table_NamedRanges[[#This Row],[Reference Text]],1))=FALSE)</f>
        <v>0</v>
      </c>
      <c r="J196" s="20">
        <f>(LEN(Table_NamedRanges[[#This Row],[Reference Text]])-LEN(SUBSTITUTE(Table_NamedRanges[[#This Row],[Reference Text]],",","")))/LEN(",")</f>
        <v>0</v>
      </c>
      <c r="K196" s="20" t="str">
        <f>IF(Table_NamedRanges[[#This Row],[Starts with '']]=FALSE,"Other",IF(AND(Table_NamedRanges[[#This Row],[Count of Colon ":"]]=0,Table_NamedRanges[[#This Row],[Count of ","]]=0),"Single Cell",IF(Table_NamedRanges[[#This Row],[Count of Colon ":"]]=1,"Single Range", "Multiple (Cell or Range)")))</f>
        <v>Single Cell</v>
      </c>
    </row>
    <row r="197" spans="2:11" x14ac:dyDescent="0.25">
      <c r="B197" s="6" t="s">
        <v>649</v>
      </c>
      <c r="C197" s="8" t="s">
        <v>998</v>
      </c>
      <c r="D197" s="18">
        <f ca="1">IFERROR(INDIRECT(Table_NamedRanges[[#This Row],[Named Range Paste]]),"Undefined/Error")</f>
        <v>0</v>
      </c>
      <c r="E197" s="18" t="str">
        <f>Table_NamedRanges[[#This Row],[Reference Paste]]</f>
        <v>='Travel Expense Summary'!$T$36</v>
      </c>
      <c r="F197" s="18" t="b">
        <f ca="1">ISERROR(VLOOKUP(Table_NamedRanges[[#This Row],[Named Range Paste]],OFFSET(INDEX(Table_ErrorList[],1,1),0,MATCH(Table_ErrorList[[#Headers],[Attention To Named Range]],Table_ErrorList[#Headers],0)-1,ROWS(Table_ErrorList[]),1),1,FALSE))=FALSE</f>
        <v>1</v>
      </c>
      <c r="G197" s="20" t="b">
        <f>MID(Table_NamedRanges[[#This Row],[Reference Text]],2,1)="'"</f>
        <v>1</v>
      </c>
      <c r="H197" s="20">
        <f>(LEN(Table_NamedRanges[[#This Row],[Reference Text]])-LEN(SUBSTITUTE(Table_NamedRanges[[#This Row],[Reference Text]],":","")))/LEN(":")</f>
        <v>0</v>
      </c>
      <c r="I197" s="20" t="b">
        <f>OR(ISERROR(FIND("[",Table_NamedRanges[[#This Row],[Reference Text]],1))=FALSE,ISERROR(FIND("]",Table_NamedRanges[[#This Row],[Reference Text]],1))=FALSE)</f>
        <v>0</v>
      </c>
      <c r="J197" s="20">
        <f>(LEN(Table_NamedRanges[[#This Row],[Reference Text]])-LEN(SUBSTITUTE(Table_NamedRanges[[#This Row],[Reference Text]],",","")))/LEN(",")</f>
        <v>0</v>
      </c>
      <c r="K197" s="20" t="str">
        <f>IF(Table_NamedRanges[[#This Row],[Starts with '']]=FALSE,"Other",IF(AND(Table_NamedRanges[[#This Row],[Count of Colon ":"]]=0,Table_NamedRanges[[#This Row],[Count of ","]]=0),"Single Cell",IF(Table_NamedRanges[[#This Row],[Count of Colon ":"]]=1,"Single Range", "Multiple (Cell or Range)")))</f>
        <v>Single Cell</v>
      </c>
    </row>
    <row r="198" spans="2:11" x14ac:dyDescent="0.25">
      <c r="B198" s="6" t="s">
        <v>672</v>
      </c>
      <c r="C198" s="8" t="s">
        <v>999</v>
      </c>
      <c r="D198" s="18">
        <f ca="1">IFERROR(INDIRECT(Table_NamedRanges[[#This Row],[Named Range Paste]]),"Undefined/Error")</f>
        <v>0</v>
      </c>
      <c r="E198" s="18" t="str">
        <f>Table_NamedRanges[[#This Row],[Reference Paste]]</f>
        <v>='Travel Expense Summary'!$T$37</v>
      </c>
      <c r="F198" s="18" t="b">
        <f ca="1">ISERROR(VLOOKUP(Table_NamedRanges[[#This Row],[Named Range Paste]],OFFSET(INDEX(Table_ErrorList[],1,1),0,MATCH(Table_ErrorList[[#Headers],[Attention To Named Range]],Table_ErrorList[#Headers],0)-1,ROWS(Table_ErrorList[]),1),1,FALSE))=FALSE</f>
        <v>1</v>
      </c>
      <c r="G198" s="20" t="b">
        <f>MID(Table_NamedRanges[[#This Row],[Reference Text]],2,1)="'"</f>
        <v>1</v>
      </c>
      <c r="H198" s="20">
        <f>(LEN(Table_NamedRanges[[#This Row],[Reference Text]])-LEN(SUBSTITUTE(Table_NamedRanges[[#This Row],[Reference Text]],":","")))/LEN(":")</f>
        <v>0</v>
      </c>
      <c r="I198" s="20" t="b">
        <f>OR(ISERROR(FIND("[",Table_NamedRanges[[#This Row],[Reference Text]],1))=FALSE,ISERROR(FIND("]",Table_NamedRanges[[#This Row],[Reference Text]],1))=FALSE)</f>
        <v>0</v>
      </c>
      <c r="J198" s="20">
        <f>(LEN(Table_NamedRanges[[#This Row],[Reference Text]])-LEN(SUBSTITUTE(Table_NamedRanges[[#This Row],[Reference Text]],",","")))/LEN(",")</f>
        <v>0</v>
      </c>
      <c r="K198" s="20" t="str">
        <f>IF(Table_NamedRanges[[#This Row],[Starts with '']]=FALSE,"Other",IF(AND(Table_NamedRanges[[#This Row],[Count of Colon ":"]]=0,Table_NamedRanges[[#This Row],[Count of ","]]=0),"Single Cell",IF(Table_NamedRanges[[#This Row],[Count of Colon ":"]]=1,"Single Range", "Multiple (Cell or Range)")))</f>
        <v>Single Cell</v>
      </c>
    </row>
    <row r="199" spans="2:11" x14ac:dyDescent="0.25">
      <c r="B199" s="6" t="s">
        <v>1000</v>
      </c>
      <c r="C199" s="8" t="s">
        <v>1001</v>
      </c>
      <c r="D199" s="18" t="b">
        <f ca="1">IFERROR(INDIRECT(Table_NamedRanges[[#This Row],[Named Range Paste]]),"Undefined/Error")</f>
        <v>1</v>
      </c>
      <c r="E199" s="18" t="str">
        <f>Table_NamedRanges[[#This Row],[Reference Paste]]</f>
        <v>='Particulars Validation'!$W$16</v>
      </c>
      <c r="F199" s="18" t="b">
        <f ca="1">ISERROR(VLOOKUP(Table_NamedRanges[[#This Row],[Named Range Paste]],OFFSET(INDEX(Table_ErrorList[],1,1),0,MATCH(Table_ErrorList[[#Headers],[Attention To Named Range]],Table_ErrorList[#Headers],0)-1,ROWS(Table_ErrorList[]),1),1,FALSE))=FALSE</f>
        <v>0</v>
      </c>
      <c r="G199" s="20" t="b">
        <f>MID(Table_NamedRanges[[#This Row],[Reference Text]],2,1)="'"</f>
        <v>1</v>
      </c>
      <c r="H199" s="20">
        <f>(LEN(Table_NamedRanges[[#This Row],[Reference Text]])-LEN(SUBSTITUTE(Table_NamedRanges[[#This Row],[Reference Text]],":","")))/LEN(":")</f>
        <v>0</v>
      </c>
      <c r="I199" s="20" t="b">
        <f>OR(ISERROR(FIND("[",Table_NamedRanges[[#This Row],[Reference Text]],1))=FALSE,ISERROR(FIND("]",Table_NamedRanges[[#This Row],[Reference Text]],1))=FALSE)</f>
        <v>0</v>
      </c>
      <c r="J199" s="20">
        <f>(LEN(Table_NamedRanges[[#This Row],[Reference Text]])-LEN(SUBSTITUTE(Table_NamedRanges[[#This Row],[Reference Text]],",","")))/LEN(",")</f>
        <v>0</v>
      </c>
      <c r="K199" s="20" t="str">
        <f>IF(Table_NamedRanges[[#This Row],[Starts with '']]=FALSE,"Other",IF(AND(Table_NamedRanges[[#This Row],[Count of Colon ":"]]=0,Table_NamedRanges[[#This Row],[Count of ","]]=0),"Single Cell",IF(Table_NamedRanges[[#This Row],[Count of Colon ":"]]=1,"Single Range", "Multiple (Cell or Range)")))</f>
        <v>Single Cell</v>
      </c>
    </row>
    <row r="200" spans="2:11" x14ac:dyDescent="0.25">
      <c r="B200" s="6" t="s">
        <v>1002</v>
      </c>
      <c r="C200" s="8" t="s">
        <v>1003</v>
      </c>
      <c r="D200" s="18" t="str">
        <f ca="1">IFERROR(INDIRECT(Table_NamedRanges[[#This Row],[Named Range Paste]]),"Undefined/Error")</f>
        <v>Undefined/Error</v>
      </c>
      <c r="E200" s="18" t="str">
        <f>Table_NamedRanges[[#This Row],[Reference Paste]]</f>
        <v>='Travel Expense Summary'!$R$13:$U$22</v>
      </c>
      <c r="F200" s="18" t="b">
        <f ca="1">ISERROR(VLOOKUP(Table_NamedRanges[[#This Row],[Named Range Paste]],OFFSET(INDEX(Table_ErrorList[],1,1),0,MATCH(Table_ErrorList[[#Headers],[Attention To Named Range]],Table_ErrorList[#Headers],0)-1,ROWS(Table_ErrorList[]),1),1,FALSE))=FALSE</f>
        <v>0</v>
      </c>
      <c r="G200" s="20" t="b">
        <f>MID(Table_NamedRanges[[#This Row],[Reference Text]],2,1)="'"</f>
        <v>1</v>
      </c>
      <c r="H200" s="20">
        <f>(LEN(Table_NamedRanges[[#This Row],[Reference Text]])-LEN(SUBSTITUTE(Table_NamedRanges[[#This Row],[Reference Text]],":","")))/LEN(":")</f>
        <v>1</v>
      </c>
      <c r="I200" s="20" t="b">
        <f>OR(ISERROR(FIND("[",Table_NamedRanges[[#This Row],[Reference Text]],1))=FALSE,ISERROR(FIND("]",Table_NamedRanges[[#This Row],[Reference Text]],1))=FALSE)</f>
        <v>0</v>
      </c>
      <c r="J200" s="20">
        <f>(LEN(Table_NamedRanges[[#This Row],[Reference Text]])-LEN(SUBSTITUTE(Table_NamedRanges[[#This Row],[Reference Text]],",","")))/LEN(",")</f>
        <v>0</v>
      </c>
      <c r="K200" s="20" t="str">
        <f>IF(Table_NamedRanges[[#This Row],[Starts with '']]=FALSE,"Other",IF(AND(Table_NamedRanges[[#This Row],[Count of Colon ":"]]=0,Table_NamedRanges[[#This Row],[Count of ","]]=0),"Single Cell",IF(Table_NamedRanges[[#This Row],[Count of Colon ":"]]=1,"Single Range", "Multiple (Cell or Range)")))</f>
        <v>Single Range</v>
      </c>
    </row>
    <row r="201" spans="2:11" ht="30" x14ac:dyDescent="0.25">
      <c r="B201" s="6" t="s">
        <v>1004</v>
      </c>
      <c r="C201" s="8" t="s">
        <v>1005</v>
      </c>
      <c r="D201" s="18" t="str">
        <f ca="1">IFERROR(INDIRECT(Table_NamedRanges[[#This Row],[Named Range Paste]]),"Undefined/Error")</f>
        <v>Undefined/Error</v>
      </c>
      <c r="E201" s="18" t="str">
        <f>Table_NamedRanges[[#This Row],[Reference Paste]]</f>
        <v>='Travel Expense Summary'!$P$13:$U$22,'Travel Expense Summary'!$I$27:$Y$36</v>
      </c>
      <c r="F201" s="18" t="b">
        <f ca="1">ISERROR(VLOOKUP(Table_NamedRanges[[#This Row],[Named Range Paste]],OFFSET(INDEX(Table_ErrorList[],1,1),0,MATCH(Table_ErrorList[[#Headers],[Attention To Named Range]],Table_ErrorList[#Headers],0)-1,ROWS(Table_ErrorList[]),1),1,FALSE))=FALSE</f>
        <v>0</v>
      </c>
      <c r="G201" s="20" t="b">
        <f>MID(Table_NamedRanges[[#This Row],[Reference Text]],2,1)="'"</f>
        <v>1</v>
      </c>
      <c r="H201" s="20">
        <f>(LEN(Table_NamedRanges[[#This Row],[Reference Text]])-LEN(SUBSTITUTE(Table_NamedRanges[[#This Row],[Reference Text]],":","")))/LEN(":")</f>
        <v>2</v>
      </c>
      <c r="I201" s="20" t="b">
        <f>OR(ISERROR(FIND("[",Table_NamedRanges[[#This Row],[Reference Text]],1))=FALSE,ISERROR(FIND("]",Table_NamedRanges[[#This Row],[Reference Text]],1))=FALSE)</f>
        <v>0</v>
      </c>
      <c r="J201" s="20">
        <f>(LEN(Table_NamedRanges[[#This Row],[Reference Text]])-LEN(SUBSTITUTE(Table_NamedRanges[[#This Row],[Reference Text]],",","")))/LEN(",")</f>
        <v>1</v>
      </c>
      <c r="K201" s="20" t="str">
        <f>IF(Table_NamedRanges[[#This Row],[Starts with '']]=FALSE,"Other",IF(AND(Table_NamedRanges[[#This Row],[Count of Colon ":"]]=0,Table_NamedRanges[[#This Row],[Count of ","]]=0),"Single Cell",IF(Table_NamedRanges[[#This Row],[Count of Colon ":"]]=1,"Single Range", "Multiple (Cell or Range)")))</f>
        <v>Multiple (Cell or Range)</v>
      </c>
    </row>
    <row r="202" spans="2:11" ht="30" x14ac:dyDescent="0.25">
      <c r="B202" s="6" t="s">
        <v>344</v>
      </c>
      <c r="C202" s="8" t="s">
        <v>1006</v>
      </c>
      <c r="D202" s="18" t="str">
        <f ca="1">IFERROR(INDIRECT(Table_NamedRanges[[#This Row],[Named Range Paste]]),"Undefined/Error")</f>
        <v>Undefined/Error</v>
      </c>
      <c r="E202" s="18" t="str">
        <f>Table_NamedRanges[[#This Row],[Reference Paste]]</f>
        <v>='Travel Expense Summary'!$O$11,'Travel Expense Summary'!$H$25</v>
      </c>
      <c r="F202" s="18" t="b">
        <f ca="1">ISERROR(VLOOKUP(Table_NamedRanges[[#This Row],[Named Range Paste]],OFFSET(INDEX(Table_ErrorList[],1,1),0,MATCH(Table_ErrorList[[#Headers],[Attention To Named Range]],Table_ErrorList[#Headers],0)-1,ROWS(Table_ErrorList[]),1),1,FALSE))=FALSE</f>
        <v>1</v>
      </c>
      <c r="G202" s="20" t="b">
        <f>MID(Table_NamedRanges[[#This Row],[Reference Text]],2,1)="'"</f>
        <v>1</v>
      </c>
      <c r="H202" s="20">
        <f>(LEN(Table_NamedRanges[[#This Row],[Reference Text]])-LEN(SUBSTITUTE(Table_NamedRanges[[#This Row],[Reference Text]],":","")))/LEN(":")</f>
        <v>0</v>
      </c>
      <c r="I202" s="20" t="b">
        <f>OR(ISERROR(FIND("[",Table_NamedRanges[[#This Row],[Reference Text]],1))=FALSE,ISERROR(FIND("]",Table_NamedRanges[[#This Row],[Reference Text]],1))=FALSE)</f>
        <v>0</v>
      </c>
      <c r="J202" s="20">
        <f>(LEN(Table_NamedRanges[[#This Row],[Reference Text]])-LEN(SUBSTITUTE(Table_NamedRanges[[#This Row],[Reference Text]],",","")))/LEN(",")</f>
        <v>1</v>
      </c>
      <c r="K202" s="20" t="str">
        <f>IF(Table_NamedRanges[[#This Row],[Starts with '']]=FALSE,"Other",IF(AND(Table_NamedRanges[[#This Row],[Count of Colon ":"]]=0,Table_NamedRanges[[#This Row],[Count of ","]]=0),"Single Cell",IF(Table_NamedRanges[[#This Row],[Count of Colon ":"]]=1,"Single Range", "Multiple (Cell or Range)")))</f>
        <v>Multiple (Cell or Range)</v>
      </c>
    </row>
    <row r="203" spans="2:11" x14ac:dyDescent="0.25">
      <c r="B203" s="6" t="s">
        <v>1007</v>
      </c>
      <c r="C203" s="8" t="s">
        <v>1008</v>
      </c>
      <c r="D203" s="18">
        <f ca="1">IFERROR(INDIRECT(Table_NamedRanges[[#This Row],[Named Range Paste]]),"Undefined/Error")</f>
        <v>43701</v>
      </c>
      <c r="E203" s="18" t="str">
        <f>Table_NamedRanges[[#This Row],[Reference Paste]]</f>
        <v>='Particulars Validation'!$D$79</v>
      </c>
      <c r="F203" s="18" t="b">
        <f ca="1">ISERROR(VLOOKUP(Table_NamedRanges[[#This Row],[Named Range Paste]],OFFSET(INDEX(Table_ErrorList[],1,1),0,MATCH(Table_ErrorList[[#Headers],[Attention To Named Range]],Table_ErrorList[#Headers],0)-1,ROWS(Table_ErrorList[]),1),1,FALSE))=FALSE</f>
        <v>0</v>
      </c>
      <c r="G203" s="20" t="b">
        <f>MID(Table_NamedRanges[[#This Row],[Reference Text]],2,1)="'"</f>
        <v>1</v>
      </c>
      <c r="H203" s="20">
        <f>(LEN(Table_NamedRanges[[#This Row],[Reference Text]])-LEN(SUBSTITUTE(Table_NamedRanges[[#This Row],[Reference Text]],":","")))/LEN(":")</f>
        <v>0</v>
      </c>
      <c r="I203" s="20" t="b">
        <f>OR(ISERROR(FIND("[",Table_NamedRanges[[#This Row],[Reference Text]],1))=FALSE,ISERROR(FIND("]",Table_NamedRanges[[#This Row],[Reference Text]],1))=FALSE)</f>
        <v>0</v>
      </c>
      <c r="J203" s="20">
        <f>(LEN(Table_NamedRanges[[#This Row],[Reference Text]])-LEN(SUBSTITUTE(Table_NamedRanges[[#This Row],[Reference Text]],",","")))/LEN(",")</f>
        <v>0</v>
      </c>
      <c r="K203" s="20" t="str">
        <f>IF(Table_NamedRanges[[#This Row],[Starts with '']]=FALSE,"Other",IF(AND(Table_NamedRanges[[#This Row],[Count of Colon ":"]]=0,Table_NamedRanges[[#This Row],[Count of ","]]=0),"Single Cell",IF(Table_NamedRanges[[#This Row],[Count of Colon ":"]]=1,"Single Range", "Multiple (Cell or Range)")))</f>
        <v>Single Cell</v>
      </c>
    </row>
    <row r="204" spans="2:11" x14ac:dyDescent="0.25">
      <c r="B204" s="6" t="s">
        <v>1009</v>
      </c>
      <c r="C204" s="8" t="s">
        <v>1010</v>
      </c>
      <c r="D204" s="18">
        <f ca="1">IFERROR(INDIRECT(Table_NamedRanges[[#This Row],[Named Range Paste]]),"Undefined/Error")</f>
        <v>43609</v>
      </c>
      <c r="E204" s="18" t="str">
        <f>Table_NamedRanges[[#This Row],[Reference Paste]]</f>
        <v>='Particulars Validation'!$D$78</v>
      </c>
      <c r="F204" s="18" t="b">
        <f ca="1">ISERROR(VLOOKUP(Table_NamedRanges[[#This Row],[Named Range Paste]],OFFSET(INDEX(Table_ErrorList[],1,1),0,MATCH(Table_ErrorList[[#Headers],[Attention To Named Range]],Table_ErrorList[#Headers],0)-1,ROWS(Table_ErrorList[]),1),1,FALSE))=FALSE</f>
        <v>0</v>
      </c>
      <c r="G204" s="20" t="b">
        <f>MID(Table_NamedRanges[[#This Row],[Reference Text]],2,1)="'"</f>
        <v>1</v>
      </c>
      <c r="H204" s="20">
        <f>(LEN(Table_NamedRanges[[#This Row],[Reference Text]])-LEN(SUBSTITUTE(Table_NamedRanges[[#This Row],[Reference Text]],":","")))/LEN(":")</f>
        <v>0</v>
      </c>
      <c r="I204" s="20" t="b">
        <f>OR(ISERROR(FIND("[",Table_NamedRanges[[#This Row],[Reference Text]],1))=FALSE,ISERROR(FIND("]",Table_NamedRanges[[#This Row],[Reference Text]],1))=FALSE)</f>
        <v>0</v>
      </c>
      <c r="J204" s="20">
        <f>(LEN(Table_NamedRanges[[#This Row],[Reference Text]])-LEN(SUBSTITUTE(Table_NamedRanges[[#This Row],[Reference Text]],",","")))/LEN(",")</f>
        <v>0</v>
      </c>
      <c r="K204" s="20" t="str">
        <f>IF(Table_NamedRanges[[#This Row],[Starts with '']]=FALSE,"Other",IF(AND(Table_NamedRanges[[#This Row],[Count of Colon ":"]]=0,Table_NamedRanges[[#This Row],[Count of ","]]=0),"Single Cell",IF(Table_NamedRanges[[#This Row],[Count of Colon ":"]]=1,"Single Range", "Multiple (Cell or Range)")))</f>
        <v>Single Cell</v>
      </c>
    </row>
    <row r="205" spans="2:11" ht="30" x14ac:dyDescent="0.25">
      <c r="B205" s="6" t="s">
        <v>1011</v>
      </c>
      <c r="C205" s="8" t="s">
        <v>1012</v>
      </c>
      <c r="D205" s="18" t="str">
        <f ca="1">IFERROR(INDIRECT(Table_NamedRanges[[#This Row],[Named Range Paste]]),"Undefined/Error")</f>
        <v>Undefined/Error</v>
      </c>
      <c r="E205" s="18" t="str">
        <f>Table_NamedRanges[[#This Row],[Reference Paste]]</f>
        <v>='Travel Expense Summary'!$P$13+'Travel Expense Summary'!$P$13:$Z$22</v>
      </c>
      <c r="F205" s="18" t="b">
        <f ca="1">ISERROR(VLOOKUP(Table_NamedRanges[[#This Row],[Named Range Paste]],OFFSET(INDEX(Table_ErrorList[],1,1),0,MATCH(Table_ErrorList[[#Headers],[Attention To Named Range]],Table_ErrorList[#Headers],0)-1,ROWS(Table_ErrorList[]),1),1,FALSE))=FALSE</f>
        <v>0</v>
      </c>
      <c r="G205" s="20" t="b">
        <f>MID(Table_NamedRanges[[#This Row],[Reference Text]],2,1)="'"</f>
        <v>1</v>
      </c>
      <c r="H205" s="20">
        <f>(LEN(Table_NamedRanges[[#This Row],[Reference Text]])-LEN(SUBSTITUTE(Table_NamedRanges[[#This Row],[Reference Text]],":","")))/LEN(":")</f>
        <v>1</v>
      </c>
      <c r="I205" s="20" t="b">
        <f>OR(ISERROR(FIND("[",Table_NamedRanges[[#This Row],[Reference Text]],1))=FALSE,ISERROR(FIND("]",Table_NamedRanges[[#This Row],[Reference Text]],1))=FALSE)</f>
        <v>0</v>
      </c>
      <c r="J205" s="20">
        <f>(LEN(Table_NamedRanges[[#This Row],[Reference Text]])-LEN(SUBSTITUTE(Table_NamedRanges[[#This Row],[Reference Text]],",","")))/LEN(",")</f>
        <v>0</v>
      </c>
      <c r="K205" s="20" t="str">
        <f>IF(Table_NamedRanges[[#This Row],[Starts with '']]=FALSE,"Other",IF(AND(Table_NamedRanges[[#This Row],[Count of Colon ":"]]=0,Table_NamedRanges[[#This Row],[Count of ","]]=0),"Single Cell",IF(Table_NamedRanges[[#This Row],[Count of Colon ":"]]=1,"Single Range", "Multiple (Cell or Range)")))</f>
        <v>Single Range</v>
      </c>
    </row>
    <row r="206" spans="2:11" x14ac:dyDescent="0.25">
      <c r="B206" s="6" t="s">
        <v>1013</v>
      </c>
      <c r="C206" s="8" t="s">
        <v>1014</v>
      </c>
      <c r="D206" s="18" t="str">
        <f ca="1">IFERROR(INDIRECT(Table_NamedRanges[[#This Row],[Named Range Paste]]),"Undefined/Error")</f>
        <v>Undefined/Error</v>
      </c>
      <c r="E206" s="18" t="str">
        <f>Table_NamedRanges[[#This Row],[Reference Paste]]</f>
        <v>='Travel Expense Summary'!$J$27:$Z$36</v>
      </c>
      <c r="F206" s="18" t="b">
        <f ca="1">ISERROR(VLOOKUP(Table_NamedRanges[[#This Row],[Named Range Paste]],OFFSET(INDEX(Table_ErrorList[],1,1),0,MATCH(Table_ErrorList[[#Headers],[Attention To Named Range]],Table_ErrorList[#Headers],0)-1,ROWS(Table_ErrorList[]),1),1,FALSE))=FALSE</f>
        <v>0</v>
      </c>
      <c r="G206" s="20" t="b">
        <f>MID(Table_NamedRanges[[#This Row],[Reference Text]],2,1)="'"</f>
        <v>1</v>
      </c>
      <c r="H206" s="20">
        <f>(LEN(Table_NamedRanges[[#This Row],[Reference Text]])-LEN(SUBSTITUTE(Table_NamedRanges[[#This Row],[Reference Text]],":","")))/LEN(":")</f>
        <v>1</v>
      </c>
      <c r="I206" s="20" t="b">
        <f>OR(ISERROR(FIND("[",Table_NamedRanges[[#This Row],[Reference Text]],1))=FALSE,ISERROR(FIND("]",Table_NamedRanges[[#This Row],[Reference Text]],1))=FALSE)</f>
        <v>0</v>
      </c>
      <c r="J206" s="20">
        <f>(LEN(Table_NamedRanges[[#This Row],[Reference Text]])-LEN(SUBSTITUTE(Table_NamedRanges[[#This Row],[Reference Text]],",","")))/LEN(",")</f>
        <v>0</v>
      </c>
      <c r="K206" s="20" t="str">
        <f>IF(Table_NamedRanges[[#This Row],[Starts with '']]=FALSE,"Other",IF(AND(Table_NamedRanges[[#This Row],[Count of Colon ":"]]=0,Table_NamedRanges[[#This Row],[Count of ","]]=0),"Single Cell",IF(Table_NamedRanges[[#This Row],[Count of Colon ":"]]=1,"Single Range", "Multiple (Cell or Range)")))</f>
        <v>Single Range</v>
      </c>
    </row>
    <row r="207" spans="2:11" ht="75" x14ac:dyDescent="0.25">
      <c r="B207" s="6" t="s">
        <v>1015</v>
      </c>
      <c r="C207" s="8" t="s">
        <v>1016</v>
      </c>
      <c r="D207" s="18" t="str">
        <f ca="1">IFERROR(INDIRECT(Table_NamedRanges[[#This Row],[Named Range Paste]]),"Undefined/Error")</f>
        <v>Undefined/Error</v>
      </c>
      <c r="E207" s="18" t="str">
        <f>Table_NamedRanges[[#This Row],[Reference Paste]]</f>
        <v>=IF(IFERROR(VLOOKUP(Field17_ClaimType,Table_ClaimType,MATCH(Table_ClaimType[[#Headers],[Advance Amount Available]],Table_ClaimType[#Headers],0),FALSE),FALSE),-Field18_TravelAdvanceAmount,0)</v>
      </c>
      <c r="F207" s="18" t="b">
        <f ca="1">ISERROR(VLOOKUP(Table_NamedRanges[[#This Row],[Named Range Paste]],OFFSET(INDEX(Table_ErrorList[],1,1),0,MATCH(Table_ErrorList[[#Headers],[Attention To Named Range]],Table_ErrorList[#Headers],0)-1,ROWS(Table_ErrorList[]),1),1,FALSE))=FALSE</f>
        <v>0</v>
      </c>
      <c r="G207" s="20" t="b">
        <f>MID(Table_NamedRanges[[#This Row],[Reference Text]],2,1)="'"</f>
        <v>0</v>
      </c>
      <c r="H207" s="20">
        <f>(LEN(Table_NamedRanges[[#This Row],[Reference Text]])-LEN(SUBSTITUTE(Table_NamedRanges[[#This Row],[Reference Text]],":","")))/LEN(":")</f>
        <v>0</v>
      </c>
      <c r="I207" s="20" t="b">
        <f>OR(ISERROR(FIND("[",Table_NamedRanges[[#This Row],[Reference Text]],1))=FALSE,ISERROR(FIND("]",Table_NamedRanges[[#This Row],[Reference Text]],1))=FALSE)</f>
        <v>1</v>
      </c>
      <c r="J207" s="20">
        <f>(LEN(Table_NamedRanges[[#This Row],[Reference Text]])-LEN(SUBSTITUTE(Table_NamedRanges[[#This Row],[Reference Text]],",","")))/LEN(",")</f>
        <v>9</v>
      </c>
      <c r="K207" s="20" t="str">
        <f>IF(Table_NamedRanges[[#This Row],[Starts with '']]=FALSE,"Other",IF(AND(Table_NamedRanges[[#This Row],[Count of Colon ":"]]=0,Table_NamedRanges[[#This Row],[Count of ","]]=0),"Single Cell",IF(Table_NamedRanges[[#This Row],[Count of Colon ":"]]=1,"Single Range", "Multiple (Cell or Range)")))</f>
        <v>Other</v>
      </c>
    </row>
    <row r="208" spans="2:11" x14ac:dyDescent="0.25">
      <c r="B208" s="6" t="s">
        <v>1017</v>
      </c>
      <c r="C208" s="8" t="s">
        <v>1018</v>
      </c>
      <c r="D208" s="18" t="str">
        <f ca="1">IFERROR(INDIRECT(Table_NamedRanges[[#This Row],[Named Range Paste]]),"Undefined/Error")</f>
        <v>Undefined/Error</v>
      </c>
      <c r="E208" s="18" t="str">
        <f>Table_NamedRanges[[#This Row],[Reference Paste]]</f>
        <v>=SUM(ClaimAllocation_AmountArray)</v>
      </c>
      <c r="F208" s="18" t="b">
        <f ca="1">ISERROR(VLOOKUP(Table_NamedRanges[[#This Row],[Named Range Paste]],OFFSET(INDEX(Table_ErrorList[],1,1),0,MATCH(Table_ErrorList[[#Headers],[Attention To Named Range]],Table_ErrorList[#Headers],0)-1,ROWS(Table_ErrorList[]),1),1,FALSE))=FALSE</f>
        <v>0</v>
      </c>
      <c r="G208" s="20" t="b">
        <f>MID(Table_NamedRanges[[#This Row],[Reference Text]],2,1)="'"</f>
        <v>0</v>
      </c>
      <c r="H208" s="20">
        <f>(LEN(Table_NamedRanges[[#This Row],[Reference Text]])-LEN(SUBSTITUTE(Table_NamedRanges[[#This Row],[Reference Text]],":","")))/LEN(":")</f>
        <v>0</v>
      </c>
      <c r="I208" s="20" t="b">
        <f>OR(ISERROR(FIND("[",Table_NamedRanges[[#This Row],[Reference Text]],1))=FALSE,ISERROR(FIND("]",Table_NamedRanges[[#This Row],[Reference Text]],1))=FALSE)</f>
        <v>0</v>
      </c>
      <c r="J208" s="20">
        <f>(LEN(Table_NamedRanges[[#This Row],[Reference Text]])-LEN(SUBSTITUTE(Table_NamedRanges[[#This Row],[Reference Text]],",","")))/LEN(",")</f>
        <v>0</v>
      </c>
      <c r="K208" s="20" t="str">
        <f>IF(Table_NamedRanges[[#This Row],[Starts with '']]=FALSE,"Other",IF(AND(Table_NamedRanges[[#This Row],[Count of Colon ":"]]=0,Table_NamedRanges[[#This Row],[Count of ","]]=0),"Single Cell",IF(Table_NamedRanges[[#This Row],[Count of Colon ":"]]=1,"Single Range", "Multiple (Cell or Range)")))</f>
        <v>Other</v>
      </c>
    </row>
    <row r="209" spans="2:11" ht="60" x14ac:dyDescent="0.25">
      <c r="B209" s="6" t="s">
        <v>1019</v>
      </c>
      <c r="C209" s="8" t="s">
        <v>1020</v>
      </c>
      <c r="D209" s="18" t="str">
        <f ca="1">IFERROR(INDIRECT(Table_NamedRanges[[#This Row],[Named Range Paste]]),"Undefined/Error")</f>
        <v>Undefined/Error</v>
      </c>
      <c r="E209" s="18" t="str">
        <f>Table_NamedRanges[[#This Row],[Reference Paste]]</f>
        <v>=IF(OR(Field30_MaximumAmount=0,Field30_MaximumAmount=""),Total_ExpenseClaimed,IF(Field30_MaximumAmount&lt;=Total_ExpenseClaimed,Field30_MaximumAmount,Total_ExpenseClaimed))</v>
      </c>
      <c r="F209" s="18" t="b">
        <f ca="1">ISERROR(VLOOKUP(Table_NamedRanges[[#This Row],[Named Range Paste]],OFFSET(INDEX(Table_ErrorList[],1,1),0,MATCH(Table_ErrorList[[#Headers],[Attention To Named Range]],Table_ErrorList[#Headers],0)-1,ROWS(Table_ErrorList[]),1),1,FALSE))=FALSE</f>
        <v>0</v>
      </c>
      <c r="G209" s="20" t="b">
        <f>MID(Table_NamedRanges[[#This Row],[Reference Text]],2,1)="'"</f>
        <v>0</v>
      </c>
      <c r="H209" s="20">
        <f>(LEN(Table_NamedRanges[[#This Row],[Reference Text]])-LEN(SUBSTITUTE(Table_NamedRanges[[#This Row],[Reference Text]],":","")))/LEN(":")</f>
        <v>0</v>
      </c>
      <c r="I209" s="20" t="b">
        <f>OR(ISERROR(FIND("[",Table_NamedRanges[[#This Row],[Reference Text]],1))=FALSE,ISERROR(FIND("]",Table_NamedRanges[[#This Row],[Reference Text]],1))=FALSE)</f>
        <v>0</v>
      </c>
      <c r="J209" s="20">
        <f>(LEN(Table_NamedRanges[[#This Row],[Reference Text]])-LEN(SUBSTITUTE(Table_NamedRanges[[#This Row],[Reference Text]],",","")))/LEN(",")</f>
        <v>5</v>
      </c>
      <c r="K209" s="20" t="str">
        <f>IF(Table_NamedRanges[[#This Row],[Starts with '']]=FALSE,"Other",IF(AND(Table_NamedRanges[[#This Row],[Count of Colon ":"]]=0,Table_NamedRanges[[#This Row],[Count of ","]]=0),"Single Cell",IF(Table_NamedRanges[[#This Row],[Count of Colon ":"]]=1,"Single Range", "Multiple (Cell or Range)")))</f>
        <v>Other</v>
      </c>
    </row>
    <row r="210" spans="2:11" ht="30" x14ac:dyDescent="0.25">
      <c r="B210" s="6" t="s">
        <v>1021</v>
      </c>
      <c r="C210" s="8" t="s">
        <v>1022</v>
      </c>
      <c r="D210" s="18" t="str">
        <f ca="1">IFERROR(INDIRECT(Table_NamedRanges[[#This Row],[Named Range Paste]]),"Undefined/Error")</f>
        <v>Undefined/Error</v>
      </c>
      <c r="E210" s="18" t="str">
        <f>Table_NamedRanges[[#This Row],[Reference Paste]]</f>
        <v>=SUM(Total_Meals,Total_TransAccomm,Total_Registration)</v>
      </c>
      <c r="F210" s="18" t="b">
        <f ca="1">ISERROR(VLOOKUP(Table_NamedRanges[[#This Row],[Named Range Paste]],OFFSET(INDEX(Table_ErrorList[],1,1),0,MATCH(Table_ErrorList[[#Headers],[Attention To Named Range]],Table_ErrorList[#Headers],0)-1,ROWS(Table_ErrorList[]),1),1,FALSE))=FALSE</f>
        <v>0</v>
      </c>
      <c r="G210" s="20" t="b">
        <f>MID(Table_NamedRanges[[#This Row],[Reference Text]],2,1)="'"</f>
        <v>0</v>
      </c>
      <c r="H210" s="20">
        <f>(LEN(Table_NamedRanges[[#This Row],[Reference Text]])-LEN(SUBSTITUTE(Table_NamedRanges[[#This Row],[Reference Text]],":","")))/LEN(":")</f>
        <v>0</v>
      </c>
      <c r="I210" s="20" t="b">
        <f>OR(ISERROR(FIND("[",Table_NamedRanges[[#This Row],[Reference Text]],1))=FALSE,ISERROR(FIND("]",Table_NamedRanges[[#This Row],[Reference Text]],1))=FALSE)</f>
        <v>0</v>
      </c>
      <c r="J210" s="20">
        <f>(LEN(Table_NamedRanges[[#This Row],[Reference Text]])-LEN(SUBSTITUTE(Table_NamedRanges[[#This Row],[Reference Text]],",","")))/LEN(",")</f>
        <v>2</v>
      </c>
      <c r="K210" s="20" t="str">
        <f>IF(Table_NamedRanges[[#This Row],[Starts with '']]=FALSE,"Other",IF(AND(Table_NamedRanges[[#This Row],[Count of Colon ":"]]=0,Table_NamedRanges[[#This Row],[Count of ","]]=0),"Single Cell",IF(Table_NamedRanges[[#This Row],[Count of Colon ":"]]=1,"Single Range", "Multiple (Cell or Range)")))</f>
        <v>Other</v>
      </c>
    </row>
    <row r="211" spans="2:11" ht="30" x14ac:dyDescent="0.25">
      <c r="B211" s="6" t="s">
        <v>1023</v>
      </c>
      <c r="C211" s="8" t="s">
        <v>1024</v>
      </c>
      <c r="D211" s="18" t="str">
        <f ca="1">IFERROR(INDIRECT(Table_NamedRanges[[#This Row],[Named Range Paste]]),"Undefined/Error")</f>
        <v>Undefined/Error</v>
      </c>
      <c r="E211" s="18" t="str">
        <f>Table_NamedRanges[[#This Row],[Reference Paste]]</f>
        <v>=SUMIF(Other_ExpenseTypeArray,"Meals*",Other_TotalArray)+'Travel Expense Summary'!$Z$23</v>
      </c>
      <c r="F211" s="18" t="b">
        <f ca="1">ISERROR(VLOOKUP(Table_NamedRanges[[#This Row],[Named Range Paste]],OFFSET(INDEX(Table_ErrorList[],1,1),0,MATCH(Table_ErrorList[[#Headers],[Attention To Named Range]],Table_ErrorList[#Headers],0)-1,ROWS(Table_ErrorList[]),1),1,FALSE))=FALSE</f>
        <v>0</v>
      </c>
      <c r="G211" s="20" t="b">
        <f>MID(Table_NamedRanges[[#This Row],[Reference Text]],2,1)="'"</f>
        <v>0</v>
      </c>
      <c r="H211" s="20">
        <f>(LEN(Table_NamedRanges[[#This Row],[Reference Text]])-LEN(SUBSTITUTE(Table_NamedRanges[[#This Row],[Reference Text]],":","")))/LEN(":")</f>
        <v>0</v>
      </c>
      <c r="I211" s="20" t="b">
        <f>OR(ISERROR(FIND("[",Table_NamedRanges[[#This Row],[Reference Text]],1))=FALSE,ISERROR(FIND("]",Table_NamedRanges[[#This Row],[Reference Text]],1))=FALSE)</f>
        <v>0</v>
      </c>
      <c r="J211" s="20">
        <f>(LEN(Table_NamedRanges[[#This Row],[Reference Text]])-LEN(SUBSTITUTE(Table_NamedRanges[[#This Row],[Reference Text]],",","")))/LEN(",")</f>
        <v>2</v>
      </c>
      <c r="K211" s="20" t="str">
        <f>IF(Table_NamedRanges[[#This Row],[Starts with '']]=FALSE,"Other",IF(AND(Table_NamedRanges[[#This Row],[Count of Colon ":"]]=0,Table_NamedRanges[[#This Row],[Count of ","]]=0),"Single Cell",IF(Table_NamedRanges[[#This Row],[Count of Colon ":"]]=1,"Single Range", "Multiple (Cell or Range)")))</f>
        <v>Other</v>
      </c>
    </row>
    <row r="212" spans="2:11" x14ac:dyDescent="0.25">
      <c r="B212" s="6" t="s">
        <v>1025</v>
      </c>
      <c r="C212" s="8" t="s">
        <v>1026</v>
      </c>
      <c r="D212" s="18">
        <f ca="1">IFERROR(INDIRECT(Table_NamedRanges[[#This Row],[Named Range Paste]]),"Undefined/Error")</f>
        <v>680.18</v>
      </c>
      <c r="E212" s="18" t="str">
        <f>Table_NamedRanges[[#This Row],[Reference Paste]]</f>
        <v>='Travel Expense Summary'!$Z$38</v>
      </c>
      <c r="F212" s="18" t="b">
        <f ca="1">ISERROR(VLOOKUP(Table_NamedRanges[[#This Row],[Named Range Paste]],OFFSET(INDEX(Table_ErrorList[],1,1),0,MATCH(Table_ErrorList[[#Headers],[Attention To Named Range]],Table_ErrorList[#Headers],0)-1,ROWS(Table_ErrorList[]),1),1,FALSE))=FALSE</f>
        <v>0</v>
      </c>
      <c r="G212" s="20" t="b">
        <f>MID(Table_NamedRanges[[#This Row],[Reference Text]],2,1)="'"</f>
        <v>1</v>
      </c>
      <c r="H212" s="20">
        <f>(LEN(Table_NamedRanges[[#This Row],[Reference Text]])-LEN(SUBSTITUTE(Table_NamedRanges[[#This Row],[Reference Text]],":","")))/LEN(":")</f>
        <v>0</v>
      </c>
      <c r="I212" s="20" t="b">
        <f>OR(ISERROR(FIND("[",Table_NamedRanges[[#This Row],[Reference Text]],1))=FALSE,ISERROR(FIND("]",Table_NamedRanges[[#This Row],[Reference Text]],1))=FALSE)</f>
        <v>0</v>
      </c>
      <c r="J212" s="20">
        <f>(LEN(Table_NamedRanges[[#This Row],[Reference Text]])-LEN(SUBSTITUTE(Table_NamedRanges[[#This Row],[Reference Text]],",","")))/LEN(",")</f>
        <v>0</v>
      </c>
      <c r="K212" s="20" t="str">
        <f>IF(Table_NamedRanges[[#This Row],[Starts with '']]=FALSE,"Other",IF(AND(Table_NamedRanges[[#This Row],[Count of Colon ":"]]=0,Table_NamedRanges[[#This Row],[Count of ","]]=0),"Single Cell",IF(Table_NamedRanges[[#This Row],[Count of Colon ":"]]=1,"Single Range", "Multiple (Cell or Range)")))</f>
        <v>Single Cell</v>
      </c>
    </row>
    <row r="213" spans="2:11" x14ac:dyDescent="0.25">
      <c r="B213" s="6" t="s">
        <v>1027</v>
      </c>
      <c r="C213" s="8" t="s">
        <v>1028</v>
      </c>
      <c r="D213" s="18" t="str">
        <f ca="1">IFERROR(INDIRECT(Table_NamedRanges[[#This Row],[Named Range Paste]]),"Undefined/Error")</f>
        <v>Undefined/Error</v>
      </c>
      <c r="E213" s="18" t="str">
        <f>Table_NamedRanges[[#This Row],[Reference Paste]]</f>
        <v>=Total_Eligible+Total_Advance</v>
      </c>
      <c r="F213" s="18" t="b">
        <f ca="1">ISERROR(VLOOKUP(Table_NamedRanges[[#This Row],[Named Range Paste]],OFFSET(INDEX(Table_ErrorList[],1,1),0,MATCH(Table_ErrorList[[#Headers],[Attention To Named Range]],Table_ErrorList[#Headers],0)-1,ROWS(Table_ErrorList[]),1),1,FALSE))=FALSE</f>
        <v>0</v>
      </c>
      <c r="G213" s="20" t="b">
        <f>MID(Table_NamedRanges[[#This Row],[Reference Text]],2,1)="'"</f>
        <v>0</v>
      </c>
      <c r="H213" s="20">
        <f>(LEN(Table_NamedRanges[[#This Row],[Reference Text]])-LEN(SUBSTITUTE(Table_NamedRanges[[#This Row],[Reference Text]],":","")))/LEN(":")</f>
        <v>0</v>
      </c>
      <c r="I213" s="20" t="b">
        <f>OR(ISERROR(FIND("[",Table_NamedRanges[[#This Row],[Reference Text]],1))=FALSE,ISERROR(FIND("]",Table_NamedRanges[[#This Row],[Reference Text]],1))=FALSE)</f>
        <v>0</v>
      </c>
      <c r="J213" s="20">
        <f>(LEN(Table_NamedRanges[[#This Row],[Reference Text]])-LEN(SUBSTITUTE(Table_NamedRanges[[#This Row],[Reference Text]],",","")))/LEN(",")</f>
        <v>0</v>
      </c>
      <c r="K213" s="20" t="str">
        <f>IF(Table_NamedRanges[[#This Row],[Starts with '']]=FALSE,"Other",IF(AND(Table_NamedRanges[[#This Row],[Count of Colon ":"]]=0,Table_NamedRanges[[#This Row],[Count of ","]]=0),"Single Cell",IF(Table_NamedRanges[[#This Row],[Count of Colon ":"]]=1,"Single Range", "Multiple (Cell or Range)")))</f>
        <v>Other</v>
      </c>
    </row>
    <row r="214" spans="2:11" ht="30" x14ac:dyDescent="0.25">
      <c r="B214" s="6" t="s">
        <v>1029</v>
      </c>
      <c r="C214" s="8" t="s">
        <v>1030</v>
      </c>
      <c r="D214" s="18" t="str">
        <f ca="1">IFERROR(INDIRECT(Table_NamedRanges[[#This Row],[Named Range Paste]]),"Undefined/Error")</f>
        <v>Undefined/Error</v>
      </c>
      <c r="E214" s="18" t="str">
        <f>Table_NamedRanges[[#This Row],[Reference Paste]]</f>
        <v>=SUMIF(Other_ExpenseTypeArray,"Reg*",Other_TotalArray)</v>
      </c>
      <c r="F214" s="18" t="b">
        <f ca="1">ISERROR(VLOOKUP(Table_NamedRanges[[#This Row],[Named Range Paste]],OFFSET(INDEX(Table_ErrorList[],1,1),0,MATCH(Table_ErrorList[[#Headers],[Attention To Named Range]],Table_ErrorList[#Headers],0)-1,ROWS(Table_ErrorList[]),1),1,FALSE))=FALSE</f>
        <v>0</v>
      </c>
      <c r="G214" s="20" t="b">
        <f>MID(Table_NamedRanges[[#This Row],[Reference Text]],2,1)="'"</f>
        <v>0</v>
      </c>
      <c r="H214" s="20">
        <f>(LEN(Table_NamedRanges[[#This Row],[Reference Text]])-LEN(SUBSTITUTE(Table_NamedRanges[[#This Row],[Reference Text]],":","")))/LEN(":")</f>
        <v>0</v>
      </c>
      <c r="I214" s="20" t="b">
        <f>OR(ISERROR(FIND("[",Table_NamedRanges[[#This Row],[Reference Text]],1))=FALSE,ISERROR(FIND("]",Table_NamedRanges[[#This Row],[Reference Text]],1))=FALSE)</f>
        <v>0</v>
      </c>
      <c r="J214" s="20">
        <f>(LEN(Table_NamedRanges[[#This Row],[Reference Text]])-LEN(SUBSTITUTE(Table_NamedRanges[[#This Row],[Reference Text]],",","")))/LEN(",")</f>
        <v>2</v>
      </c>
      <c r="K214" s="20" t="str">
        <f>IF(Table_NamedRanges[[#This Row],[Starts with '']]=FALSE,"Other",IF(AND(Table_NamedRanges[[#This Row],[Count of Colon ":"]]=0,Table_NamedRanges[[#This Row],[Count of ","]]=0),"Single Cell",IF(Table_NamedRanges[[#This Row],[Count of Colon ":"]]=1,"Single Range", "Multiple (Cell or Range)")))</f>
        <v>Other</v>
      </c>
    </row>
    <row r="215" spans="2:11" ht="45" x14ac:dyDescent="0.25">
      <c r="B215" s="6" t="s">
        <v>1031</v>
      </c>
      <c r="C215" s="8" t="s">
        <v>1032</v>
      </c>
      <c r="D215" s="18" t="str">
        <f ca="1">IFERROR(INDIRECT(Table_NamedRanges[[#This Row],[Named Range Paste]]),"Undefined/Error")</f>
        <v>Undefined/Error</v>
      </c>
      <c r="E215" s="18" t="str">
        <f>Table_NamedRanges[[#This Row],[Reference Paste]]</f>
        <v>=SUMIF(Other_ExpenseTypeArray,"Trans*",Other_TotalArray)+SUMIF(Other_ExpenseTypeArray,"Accomm*",Other_TotalArray)</v>
      </c>
      <c r="F215" s="18" t="b">
        <f ca="1">ISERROR(VLOOKUP(Table_NamedRanges[[#This Row],[Named Range Paste]],OFFSET(INDEX(Table_ErrorList[],1,1),0,MATCH(Table_ErrorList[[#Headers],[Attention To Named Range]],Table_ErrorList[#Headers],0)-1,ROWS(Table_ErrorList[]),1),1,FALSE))=FALSE</f>
        <v>0</v>
      </c>
      <c r="G215" s="20" t="b">
        <f>MID(Table_NamedRanges[[#This Row],[Reference Text]],2,1)="'"</f>
        <v>0</v>
      </c>
      <c r="H215" s="20">
        <f>(LEN(Table_NamedRanges[[#This Row],[Reference Text]])-LEN(SUBSTITUTE(Table_NamedRanges[[#This Row],[Reference Text]],":","")))/LEN(":")</f>
        <v>0</v>
      </c>
      <c r="I215" s="20" t="b">
        <f>OR(ISERROR(FIND("[",Table_NamedRanges[[#This Row],[Reference Text]],1))=FALSE,ISERROR(FIND("]",Table_NamedRanges[[#This Row],[Reference Text]],1))=FALSE)</f>
        <v>0</v>
      </c>
      <c r="J215" s="20">
        <f>(LEN(Table_NamedRanges[[#This Row],[Reference Text]])-LEN(SUBSTITUTE(Table_NamedRanges[[#This Row],[Reference Text]],",","")))/LEN(",")</f>
        <v>4</v>
      </c>
      <c r="K215" s="20" t="str">
        <f>IF(Table_NamedRanges[[#This Row],[Starts with '']]=FALSE,"Other",IF(AND(Table_NamedRanges[[#This Row],[Count of Colon ":"]]=0,Table_NamedRanges[[#This Row],[Count of ","]]=0),"Single Cell",IF(Table_NamedRanges[[#This Row],[Count of Colon ":"]]=1,"Single Range", "Multiple (Cell or Range)")))</f>
        <v>Other</v>
      </c>
    </row>
    <row r="216" spans="2:11" ht="150" x14ac:dyDescent="0.25">
      <c r="B216" s="6" t="s">
        <v>1033</v>
      </c>
      <c r="C216" s="8" t="s">
        <v>1034</v>
      </c>
      <c r="D216" s="18" t="str">
        <f ca="1">IFERROR(INDIRECT(Table_NamedRanges[[#This Row],[Named Range Paste]]),"Undefined/Error")</f>
        <v>For Ms. Hailey Masiero's domestic round-trip travel from Toronto to Thunder Bay
From April 1, 2019 to May 24, 2019 (54 days, 53 nights)
For: 'Completing a University of Toronto RS Clinical Placement'</v>
      </c>
      <c r="E216" s="18" t="str">
        <f>Table_NamedRanges[[#This Row],[Reference Paste]]</f>
        <v>='Text Summary'!$B$3</v>
      </c>
      <c r="F216" s="18" t="b">
        <f ca="1">ISERROR(VLOOKUP(Table_NamedRanges[[#This Row],[Named Range Paste]],OFFSET(INDEX(Table_ErrorList[],1,1),0,MATCH(Table_ErrorList[[#Headers],[Attention To Named Range]],Table_ErrorList[#Headers],0)-1,ROWS(Table_ErrorList[]),1),1,FALSE))=FALSE</f>
        <v>0</v>
      </c>
      <c r="G216" s="20" t="b">
        <f>MID(Table_NamedRanges[[#This Row],[Reference Text]],2,1)="'"</f>
        <v>1</v>
      </c>
      <c r="H216" s="20">
        <f>(LEN(Table_NamedRanges[[#This Row],[Reference Text]])-LEN(SUBSTITUTE(Table_NamedRanges[[#This Row],[Reference Text]],":","")))/LEN(":")</f>
        <v>0</v>
      </c>
      <c r="I216" s="20" t="b">
        <f>OR(ISERROR(FIND("[",Table_NamedRanges[[#This Row],[Reference Text]],1))=FALSE,ISERROR(FIND("]",Table_NamedRanges[[#This Row],[Reference Text]],1))=FALSE)</f>
        <v>0</v>
      </c>
      <c r="J216" s="20">
        <f>(LEN(Table_NamedRanges[[#This Row],[Reference Text]])-LEN(SUBSTITUTE(Table_NamedRanges[[#This Row],[Reference Text]],",","")))/LEN(",")</f>
        <v>0</v>
      </c>
      <c r="K216" s="20" t="str">
        <f>IF(Table_NamedRanges[[#This Row],[Starts with '']]=FALSE,"Other",IF(AND(Table_NamedRanges[[#This Row],[Count of Colon ":"]]=0,Table_NamedRanges[[#This Row],[Count of ","]]=0),"Single Cell",IF(Table_NamedRanges[[#This Row],[Count of Colon ":"]]=1,"Single Range", "Multiple (Cell or Range)")))</f>
        <v>Single Cell</v>
      </c>
    </row>
    <row r="217" spans="2:11" x14ac:dyDescent="0.25">
      <c r="B217" s="6" t="s">
        <v>1035</v>
      </c>
      <c r="C217" s="8" t="s">
        <v>1036</v>
      </c>
      <c r="D217" s="18" t="b">
        <f ca="1">IFERROR(INDIRECT(Table_NamedRanges[[#This Row],[Named Range Paste]]),"Undefined/Error")</f>
        <v>1</v>
      </c>
      <c r="E217" s="18" t="str">
        <f>Table_NamedRanges[[#This Row],[Reference Paste]]</f>
        <v>='Text Summary'!$B$2</v>
      </c>
      <c r="F217" s="18" t="b">
        <f ca="1">ISERROR(VLOOKUP(Table_NamedRanges[[#This Row],[Named Range Paste]],OFFSET(INDEX(Table_ErrorList[],1,1),0,MATCH(Table_ErrorList[[#Headers],[Attention To Named Range]],Table_ErrorList[#Headers],0)-1,ROWS(Table_ErrorList[]),1),1,FALSE))=FALSE</f>
        <v>0</v>
      </c>
      <c r="G217" s="20" t="b">
        <f>MID(Table_NamedRanges[[#This Row],[Reference Text]],2,1)="'"</f>
        <v>1</v>
      </c>
      <c r="H217" s="20">
        <f>(LEN(Table_NamedRanges[[#This Row],[Reference Text]])-LEN(SUBSTITUTE(Table_NamedRanges[[#This Row],[Reference Text]],":","")))/LEN(":")</f>
        <v>0</v>
      </c>
      <c r="I217" s="20" t="b">
        <f>OR(ISERROR(FIND("[",Table_NamedRanges[[#This Row],[Reference Text]],1))=FALSE,ISERROR(FIND("]",Table_NamedRanges[[#This Row],[Reference Text]],1))=FALSE)</f>
        <v>0</v>
      </c>
      <c r="J217" s="20">
        <f>(LEN(Table_NamedRanges[[#This Row],[Reference Text]])-LEN(SUBSTITUTE(Table_NamedRanges[[#This Row],[Reference Text]],",","")))/LEN(",")</f>
        <v>0</v>
      </c>
      <c r="K217" s="20" t="str">
        <f>IF(Table_NamedRanges[[#This Row],[Starts with '']]=FALSE,"Other",IF(AND(Table_NamedRanges[[#This Row],[Count of Colon ":"]]=0,Table_NamedRanges[[#This Row],[Count of ","]]=0),"Single Cell",IF(Table_NamedRanges[[#This Row],[Count of Colon ":"]]=1,"Single Range", "Multiple (Cell or Range)")))</f>
        <v>Single Cell</v>
      </c>
    </row>
  </sheetData>
  <sheetProtection password="EDC4" sheet="1" objects="1" scenarios="1" selectLockedCells="1" selectUnlockedCells="1"/>
  <dataValidations disablePrompts="1" count="1">
    <dataValidation type="list" allowBlank="1" showInputMessage="1" showErrorMessage="1" sqref="K4:K217" xr:uid="{00000000-0002-0000-0300-000000000000}">
      <formula1>"Single Cell, Single Range, Multiple (Cell or Range), Other"</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D81"/>
  <sheetViews>
    <sheetView topLeftCell="W1" workbookViewId="0">
      <selection activeCell="AC17" sqref="AC17"/>
    </sheetView>
  </sheetViews>
  <sheetFormatPr defaultRowHeight="15" x14ac:dyDescent="0.25"/>
  <cols>
    <col min="1" max="1" width="39" bestFit="1" customWidth="1"/>
    <col min="3" max="3" width="22.42578125" customWidth="1"/>
    <col min="4" max="5" width="22" customWidth="1"/>
    <col min="7" max="7" width="20.42578125" bestFit="1" customWidth="1"/>
    <col min="8" max="8" width="8.28515625" customWidth="1"/>
    <col min="9" max="9" width="16.85546875" bestFit="1" customWidth="1"/>
    <col min="11" max="11" width="48.5703125" bestFit="1" customWidth="1"/>
    <col min="12" max="12" width="14.7109375" customWidth="1"/>
    <col min="13" max="13" width="32.7109375" bestFit="1" customWidth="1"/>
    <col min="15" max="15" width="42.85546875" bestFit="1" customWidth="1"/>
    <col min="16" max="16" width="9.140625" style="30"/>
    <col min="17" max="17" width="31.28515625" style="30" customWidth="1"/>
    <col min="18" max="18" width="15.7109375" style="30" customWidth="1"/>
    <col min="19" max="19" width="9.140625" style="30"/>
    <col min="20" max="20" width="16.140625" style="30" bestFit="1" customWidth="1"/>
    <col min="21" max="21" width="16.140625" style="30" customWidth="1"/>
    <col min="22" max="23" width="16.7109375" style="30" customWidth="1"/>
    <col min="25" max="25" width="24.140625" bestFit="1" customWidth="1"/>
    <col min="26" max="26" width="24.140625" style="30" customWidth="1"/>
    <col min="27" max="27" width="21.5703125" style="30" bestFit="1" customWidth="1"/>
    <col min="28" max="28" width="11.140625" customWidth="1"/>
    <col min="29" max="29" width="37.42578125" customWidth="1"/>
    <col min="31" max="31" width="33.28515625" bestFit="1" customWidth="1"/>
    <col min="32" max="32" width="19.28515625" bestFit="1" customWidth="1"/>
    <col min="34" max="34" width="26.5703125" bestFit="1" customWidth="1"/>
    <col min="36" max="36" width="25.7109375" customWidth="1"/>
    <col min="37" max="37" width="29.85546875" style="30" bestFit="1" customWidth="1"/>
    <col min="38" max="38" width="5.28515625" style="30" customWidth="1"/>
    <col min="39" max="39" width="54" style="30" bestFit="1" customWidth="1"/>
    <col min="40" max="40" width="27.85546875" style="30" bestFit="1" customWidth="1"/>
    <col min="41" max="41" width="6.140625" style="30" customWidth="1"/>
    <col min="42" max="42" width="36.42578125" style="30" bestFit="1" customWidth="1"/>
    <col min="43" max="43" width="6.140625" customWidth="1"/>
    <col min="44" max="44" width="14" bestFit="1" customWidth="1"/>
    <col min="45" max="45" width="14.7109375" bestFit="1" customWidth="1"/>
    <col min="48" max="48" width="35.28515625" bestFit="1" customWidth="1"/>
    <col min="49" max="49" width="13" bestFit="1" customWidth="1"/>
    <col min="50" max="50" width="13" style="30" customWidth="1"/>
    <col min="51" max="51" width="59.140625" bestFit="1" customWidth="1"/>
    <col min="54" max="54" width="35.7109375" style="30" bestFit="1" customWidth="1"/>
    <col min="55" max="55" width="23" bestFit="1" customWidth="1"/>
    <col min="56" max="56" width="10.7109375" bestFit="1" customWidth="1"/>
  </cols>
  <sheetData>
    <row r="1" spans="1:56" ht="21" x14ac:dyDescent="0.35">
      <c r="A1" s="30"/>
      <c r="B1" s="30"/>
      <c r="C1" s="348" t="s">
        <v>1037</v>
      </c>
      <c r="D1" s="349"/>
      <c r="E1" s="350"/>
      <c r="F1" s="30"/>
      <c r="G1" s="14" t="s">
        <v>1038</v>
      </c>
      <c r="H1" s="30"/>
      <c r="I1" s="14" t="s">
        <v>1039</v>
      </c>
      <c r="J1" s="30"/>
      <c r="K1" s="14" t="s">
        <v>1040</v>
      </c>
      <c r="L1" s="15"/>
      <c r="M1" s="15"/>
      <c r="N1" s="30"/>
      <c r="O1" s="14" t="s">
        <v>1041</v>
      </c>
      <c r="Q1" s="14" t="s">
        <v>1042</v>
      </c>
      <c r="T1" s="357" t="s">
        <v>1043</v>
      </c>
      <c r="U1" s="358"/>
      <c r="V1" s="358"/>
      <c r="W1" s="358"/>
      <c r="X1" s="30"/>
      <c r="Y1" s="14" t="s">
        <v>1044</v>
      </c>
      <c r="Z1" s="15"/>
      <c r="AB1" s="30"/>
      <c r="AC1" s="14" t="s">
        <v>1045</v>
      </c>
      <c r="AD1" s="30"/>
      <c r="AE1" s="14" t="s">
        <v>1046</v>
      </c>
      <c r="AF1" s="15"/>
      <c r="AG1" s="30"/>
      <c r="AH1" s="14" t="s">
        <v>1047</v>
      </c>
      <c r="AI1" s="30"/>
      <c r="AJ1" s="14" t="s">
        <v>1048</v>
      </c>
      <c r="AK1" s="15"/>
      <c r="AL1" s="65"/>
      <c r="AM1" s="14" t="s">
        <v>1049</v>
      </c>
      <c r="AP1" s="14" t="s">
        <v>1050</v>
      </c>
      <c r="AQ1" s="30"/>
      <c r="AR1" s="30"/>
      <c r="AS1" s="30"/>
      <c r="AT1" s="30"/>
      <c r="AU1" s="30"/>
      <c r="AV1" s="14" t="s">
        <v>1051</v>
      </c>
      <c r="AW1" s="30"/>
      <c r="AY1" s="30"/>
      <c r="AZ1" s="30"/>
      <c r="BA1" s="30"/>
      <c r="BB1" s="14" t="s">
        <v>1052</v>
      </c>
      <c r="BC1" s="30"/>
      <c r="BD1" s="30"/>
    </row>
    <row r="2" spans="1:56" ht="6" customHeight="1" x14ac:dyDescent="0.25">
      <c r="A2" s="30"/>
      <c r="B2" s="30"/>
      <c r="C2" s="30"/>
      <c r="D2" s="13"/>
      <c r="E2" s="13"/>
      <c r="F2" s="30"/>
      <c r="G2" s="30"/>
      <c r="H2" s="30"/>
      <c r="I2" s="30"/>
      <c r="J2" s="30"/>
      <c r="K2" s="30"/>
      <c r="L2" s="30"/>
      <c r="M2" s="30"/>
      <c r="N2" s="30"/>
      <c r="O2" s="30"/>
      <c r="X2" s="30"/>
      <c r="Y2" s="30"/>
      <c r="AB2" s="30"/>
      <c r="AC2" s="30"/>
      <c r="AD2" s="30"/>
      <c r="AE2" s="30"/>
      <c r="AF2" s="30"/>
      <c r="AG2" s="30"/>
      <c r="AH2" s="30"/>
      <c r="AI2" s="30"/>
      <c r="AJ2" s="30"/>
      <c r="AQ2" s="30"/>
      <c r="AR2" s="30"/>
      <c r="AS2" s="30"/>
      <c r="AT2" s="30"/>
      <c r="AU2" s="30"/>
      <c r="AV2" s="30"/>
      <c r="AW2" s="30"/>
      <c r="AY2" s="30"/>
      <c r="AZ2" s="30"/>
      <c r="BA2" s="30"/>
      <c r="BC2" s="30"/>
      <c r="BD2" s="30"/>
    </row>
    <row r="3" spans="1:56" ht="21" x14ac:dyDescent="0.35">
      <c r="A3" s="21" t="s">
        <v>774</v>
      </c>
      <c r="B3" s="30"/>
      <c r="C3" s="30"/>
      <c r="D3" s="10" t="s">
        <v>796</v>
      </c>
      <c r="E3" s="10" t="s">
        <v>788</v>
      </c>
      <c r="F3" s="30"/>
      <c r="G3" s="30" t="s">
        <v>798</v>
      </c>
      <c r="H3" s="30"/>
      <c r="I3" s="30" t="s">
        <v>780</v>
      </c>
      <c r="J3" s="30"/>
      <c r="K3" s="30" t="s">
        <v>1053</v>
      </c>
      <c r="L3" s="30"/>
      <c r="M3" s="30"/>
      <c r="N3" s="30"/>
      <c r="O3" s="30" t="s">
        <v>764</v>
      </c>
      <c r="Q3" s="30" t="s">
        <v>782</v>
      </c>
      <c r="X3" s="30"/>
      <c r="Y3" s="30" t="s">
        <v>776</v>
      </c>
      <c r="Z3" s="30" t="s">
        <v>762</v>
      </c>
      <c r="AB3" s="30"/>
      <c r="AC3" s="30" t="s">
        <v>1054</v>
      </c>
      <c r="AD3" s="30"/>
      <c r="AE3" s="30" t="s">
        <v>786</v>
      </c>
      <c r="AF3" s="30"/>
      <c r="AG3" s="30"/>
      <c r="AH3" s="30" t="s">
        <v>800</v>
      </c>
      <c r="AI3" s="30"/>
      <c r="AJ3" s="30" t="s">
        <v>766</v>
      </c>
      <c r="AM3" s="30" t="s">
        <v>784</v>
      </c>
      <c r="AN3" s="30" t="s">
        <v>170</v>
      </c>
      <c r="AP3" s="30" t="s">
        <v>790</v>
      </c>
      <c r="AQ3" s="30"/>
      <c r="AR3" s="30"/>
      <c r="AS3" s="30"/>
      <c r="AT3" s="30"/>
      <c r="AU3" s="30"/>
      <c r="AV3" s="155" t="s">
        <v>1055</v>
      </c>
      <c r="AW3" s="155" t="s">
        <v>1056</v>
      </c>
      <c r="AY3" s="356" t="s">
        <v>1057</v>
      </c>
      <c r="AZ3" s="356"/>
      <c r="BA3" s="30"/>
      <c r="BC3" s="30"/>
      <c r="BD3" s="30"/>
    </row>
    <row r="4" spans="1:56" ht="60" customHeight="1" x14ac:dyDescent="0.25">
      <c r="A4" s="19" t="s">
        <v>65</v>
      </c>
      <c r="B4" s="30"/>
      <c r="C4" s="7"/>
      <c r="D4" s="9" t="s">
        <v>1058</v>
      </c>
      <c r="E4" s="9" t="s">
        <v>1059</v>
      </c>
      <c r="F4" s="30"/>
      <c r="G4" s="30"/>
      <c r="H4" s="30"/>
      <c r="I4" s="30"/>
      <c r="J4" s="30"/>
      <c r="K4" s="30"/>
      <c r="L4" s="30"/>
      <c r="M4" s="30"/>
      <c r="N4" s="30"/>
      <c r="O4" s="30"/>
      <c r="U4" s="136" t="s">
        <v>1060</v>
      </c>
      <c r="V4" s="135" t="b">
        <f>Field06A_Province&lt;&gt;'Particulars Validation'!$R$21</f>
        <v>1</v>
      </c>
      <c r="W4" s="137"/>
      <c r="X4" s="30"/>
      <c r="Y4" s="30"/>
      <c r="Z4" s="30">
        <v>0.42</v>
      </c>
      <c r="AB4" s="30"/>
      <c r="AC4" s="30" t="s">
        <v>1061</v>
      </c>
      <c r="AD4" s="30"/>
      <c r="AE4" s="30"/>
      <c r="AF4" s="30"/>
      <c r="AG4" s="30"/>
      <c r="AH4" s="30"/>
      <c r="AI4" s="30"/>
      <c r="AJ4" s="30"/>
      <c r="AN4" s="30" t="str">
        <f>Field19_Purpose</f>
        <v>Select</v>
      </c>
      <c r="AQ4" s="30"/>
      <c r="AR4" s="30"/>
      <c r="AS4" s="30"/>
      <c r="AT4" s="30"/>
      <c r="AU4" s="30"/>
      <c r="AV4" s="60" t="e">
        <f>MODE(Table_MealDateDuplicates[MealDates])</f>
        <v>#N/A</v>
      </c>
      <c r="AW4" s="61">
        <f>COUNTIF(Table_MealDateDuplicates[MealDates],$AV$4)</f>
        <v>0</v>
      </c>
      <c r="AX4" s="62"/>
      <c r="AY4" s="355" t="str">
        <f ca="1">CONCATENATE(IF(LEN(AZ7)&gt;0,AZ7&amp;",",""),IF(LEN(AZ8)&gt;0,AZ8&amp;",",""),IF(LEN(AZ9)&gt;0,AZ9&amp;",",""),IF(LEN(AZ10)&gt;0,AZ10&amp;",",""),IF(LEN(AZ11)&gt;0,AZ11&amp;",",""),IF(LEN(AZ12)&gt;0,AZ12&amp;",",""),IF(LEN(AZ13)&gt;0,AZ13&amp;",",""),IF(LEN(AZ14)&gt;0,AZ14&amp;",",""),IF(LEN(AZ15)&gt;0,AZ15&amp;",",""),IF(LEN(AZ16)&gt;0,AZ16&amp;",",""))</f>
        <v/>
      </c>
      <c r="AZ4" s="355"/>
      <c r="BA4" s="30"/>
      <c r="BB4" s="30" t="s">
        <v>1062</v>
      </c>
      <c r="BC4" s="30"/>
      <c r="BD4" s="30"/>
    </row>
    <row r="5" spans="1:56" ht="5.25" customHeight="1" x14ac:dyDescent="0.25">
      <c r="A5" s="30"/>
      <c r="B5" s="30"/>
      <c r="C5" s="7"/>
      <c r="D5" s="12"/>
      <c r="E5" s="12"/>
      <c r="F5" s="30"/>
      <c r="G5" s="30"/>
      <c r="H5" s="30"/>
      <c r="I5" s="30"/>
      <c r="J5" s="30"/>
      <c r="K5" s="30"/>
      <c r="L5" s="30"/>
      <c r="M5" s="30"/>
      <c r="N5" s="30"/>
      <c r="O5" s="30"/>
      <c r="X5" s="30"/>
      <c r="Y5" s="30"/>
      <c r="AB5" s="30"/>
      <c r="AC5" s="30"/>
      <c r="AD5" s="30"/>
      <c r="AE5" s="30"/>
      <c r="AF5" s="30"/>
      <c r="AG5" s="30"/>
      <c r="AH5" s="30"/>
      <c r="AI5" s="30"/>
      <c r="AJ5" s="30"/>
      <c r="AQ5" s="30"/>
      <c r="AR5" s="30"/>
      <c r="AS5" s="30"/>
      <c r="AT5" s="30"/>
      <c r="AU5" s="30"/>
      <c r="AV5" s="30"/>
      <c r="AW5" s="30"/>
      <c r="AY5" s="30"/>
      <c r="AZ5" s="30"/>
      <c r="BA5" s="30"/>
      <c r="BC5" s="30"/>
      <c r="BD5" s="30"/>
    </row>
    <row r="6" spans="1:56" ht="30" x14ac:dyDescent="0.25">
      <c r="A6" s="30"/>
      <c r="B6" s="30"/>
      <c r="C6" s="8" t="s">
        <v>1063</v>
      </c>
      <c r="D6" s="8" t="s">
        <v>1064</v>
      </c>
      <c r="E6" s="8" t="s">
        <v>1065</v>
      </c>
      <c r="F6" s="30"/>
      <c r="G6" s="6" t="s">
        <v>60</v>
      </c>
      <c r="H6" s="30"/>
      <c r="I6" s="6" t="s">
        <v>10</v>
      </c>
      <c r="J6" s="30"/>
      <c r="K6" s="6" t="s">
        <v>1066</v>
      </c>
      <c r="L6" s="6" t="s">
        <v>1067</v>
      </c>
      <c r="M6" s="6" t="s">
        <v>1068</v>
      </c>
      <c r="N6" s="30"/>
      <c r="O6" s="6" t="s">
        <v>29</v>
      </c>
      <c r="Q6" s="30" t="s">
        <v>1069</v>
      </c>
      <c r="R6" s="30" t="s">
        <v>1070</v>
      </c>
      <c r="T6" s="63" t="s">
        <v>1071</v>
      </c>
      <c r="U6" s="63" t="s">
        <v>1072</v>
      </c>
      <c r="V6" s="63" t="s">
        <v>1073</v>
      </c>
      <c r="W6" s="63" t="s">
        <v>1074</v>
      </c>
      <c r="X6" s="30"/>
      <c r="Y6" s="6" t="s">
        <v>36</v>
      </c>
      <c r="Z6" s="8" t="s">
        <v>1075</v>
      </c>
      <c r="AA6" s="6" t="s">
        <v>1076</v>
      </c>
      <c r="AB6" s="30"/>
      <c r="AC6" s="6" t="s">
        <v>1077</v>
      </c>
      <c r="AD6" s="30"/>
      <c r="AE6" s="6" t="s">
        <v>54</v>
      </c>
      <c r="AF6" s="6" t="s">
        <v>1078</v>
      </c>
      <c r="AG6" s="30"/>
      <c r="AH6" s="6" t="s">
        <v>1079</v>
      </c>
      <c r="AI6" s="30"/>
      <c r="AJ6" s="6" t="s">
        <v>64</v>
      </c>
      <c r="AK6" s="6" t="s">
        <v>1080</v>
      </c>
      <c r="AL6" s="6"/>
      <c r="AM6" s="6" t="s">
        <v>67</v>
      </c>
      <c r="AN6" s="6" t="s">
        <v>1081</v>
      </c>
      <c r="AP6" s="30" t="s">
        <v>1082</v>
      </c>
      <c r="AQ6" s="30"/>
      <c r="AR6" s="27" t="s">
        <v>856</v>
      </c>
      <c r="AS6" s="27" t="s">
        <v>858</v>
      </c>
      <c r="AT6" s="27" t="s">
        <v>860</v>
      </c>
      <c r="AU6" s="30"/>
      <c r="AV6" s="6" t="s">
        <v>1083</v>
      </c>
      <c r="AW6" s="6" t="s">
        <v>1084</v>
      </c>
      <c r="AX6" s="6" t="s">
        <v>1085</v>
      </c>
      <c r="AY6" s="6" t="s">
        <v>1086</v>
      </c>
      <c r="AZ6" s="6" t="s">
        <v>1087</v>
      </c>
      <c r="BA6" s="30"/>
      <c r="BB6" s="30" t="s">
        <v>1088</v>
      </c>
      <c r="BC6" s="30" t="s">
        <v>1089</v>
      </c>
      <c r="BD6" s="30" t="s">
        <v>1090</v>
      </c>
    </row>
    <row r="7" spans="1:56" x14ac:dyDescent="0.25">
      <c r="A7" s="30"/>
      <c r="B7" s="30"/>
      <c r="C7" s="6">
        <v>1</v>
      </c>
      <c r="D7" s="5">
        <f>IF(Field15_TravelStartDate="","",Field15_TravelStartDate+Table_Dates[[#This Row],[Day '#]]-1)</f>
        <v>43556</v>
      </c>
      <c r="E7" s="5">
        <f>IF(AND(Field15_TravelStartDate&lt;=Table_Dates[[#This Row],[Travel End Date Available]],Field16_TravelEndDate&gt;=Table_Dates[[#This Row],[Travel End Date Available]]),Table_Dates[[#This Row],[Travel End Date Available]],"XXXX")</f>
        <v>43556</v>
      </c>
      <c r="F7" s="30"/>
      <c r="G7" s="6" t="str">
        <f>Dropdown_NotSelectedValue</f>
        <v>Select</v>
      </c>
      <c r="H7" s="30"/>
      <c r="I7" s="6" t="str">
        <f>Dropdown_NotSelectedValue</f>
        <v>Select</v>
      </c>
      <c r="J7" s="30"/>
      <c r="K7" s="6" t="str">
        <f>Table_PaymentOption[[#This Row],[Top]]&amp;IF(Table_PaymentOption[[#This Row],[Bottom]]&lt;&gt;"",CHAR(10)&amp;Table_PaymentOption[[#This Row],[Bottom]],"")</f>
        <v>Select</v>
      </c>
      <c r="L7" s="6" t="str">
        <f>Dropdown_NotSelectedValue</f>
        <v>Select</v>
      </c>
      <c r="M7" s="6"/>
      <c r="N7" s="30"/>
      <c r="O7" s="6" t="str">
        <f>Dropdown_NotSelectedValue</f>
        <v>Select</v>
      </c>
      <c r="R7" s="30" t="str">
        <f>Dropdown_NotSelectedValue</f>
        <v>Select</v>
      </c>
      <c r="T7" s="63">
        <v>0</v>
      </c>
      <c r="U7" s="63" t="s">
        <v>1091</v>
      </c>
      <c r="V7" s="63" t="b">
        <v>1</v>
      </c>
      <c r="W7" s="63" t="b">
        <f>IF($V$4=TRUE,Table_Postal[[#This Row],[Result]],TRUE)</f>
        <v>1</v>
      </c>
      <c r="X7" s="30"/>
      <c r="Y7" s="6" t="str">
        <f>Dropdown_NotSelectedValue</f>
        <v>Select</v>
      </c>
      <c r="Z7" s="6">
        <f t="shared" ref="Z7:Z12" si="0">DefaultMileageRate</f>
        <v>0.42</v>
      </c>
      <c r="AA7" s="6" t="b">
        <v>0</v>
      </c>
      <c r="AB7" s="30"/>
      <c r="AC7" s="6" t="str">
        <f>Dropdown_NotSelectedValue</f>
        <v>Select</v>
      </c>
      <c r="AD7" s="30"/>
      <c r="AE7" s="6" t="str">
        <f>Dropdown_NotSelectedValue</f>
        <v>Select</v>
      </c>
      <c r="AF7" s="6" t="b">
        <v>0</v>
      </c>
      <c r="AG7" s="30"/>
      <c r="AH7" s="6" t="str">
        <f>Dropdown_NotSelectedValue</f>
        <v>Select</v>
      </c>
      <c r="AI7" s="30"/>
      <c r="AJ7" s="6" t="str">
        <f>Dropdown_NotSelectedValue</f>
        <v>Select</v>
      </c>
      <c r="AK7" s="6" t="b">
        <v>1</v>
      </c>
      <c r="AL7" s="6"/>
      <c r="AM7" s="6" t="str">
        <f>Dropdown_NotSelectedValue</f>
        <v>Select</v>
      </c>
      <c r="AN7" s="6" t="b">
        <v>1</v>
      </c>
      <c r="AP7" s="30" t="str">
        <f>Dropdown_NotSelectedValue</f>
        <v>Select</v>
      </c>
      <c r="AQ7" s="30"/>
      <c r="AR7" s="28">
        <v>2.75E-2</v>
      </c>
      <c r="AS7" s="28">
        <v>5.7500000000000002E-2</v>
      </c>
      <c r="AT7" s="28">
        <v>0.13</v>
      </c>
      <c r="AU7" s="30"/>
      <c r="AV7" s="59" t="str">
        <f>IF(INDEX(Meal_DatesArray,ROWS($AV$7:AV7),1)=0,"",INDEX(Meal_DatesArray,ROWS($AV$7:AV7)))</f>
        <v/>
      </c>
      <c r="AW7" s="31" t="e">
        <f>Table_MealDateDuplicates[[#This Row],[MealDates]]=$AV$4</f>
        <v>#N/A</v>
      </c>
      <c r="AX7" s="31">
        <v>1</v>
      </c>
      <c r="AY7" s="59" t="e">
        <f ca="1">IF(Table_MealDateDuplicates[[#This Row],[EQUALS MODE]]=TRUE,CELL("address",INDEX(Meal_DatesArray,Table_MealDateDuplicates[[#This Row],[Line]],1)),"")</f>
        <v>#N/A</v>
      </c>
      <c r="AZ7" s="59" t="str">
        <f ca="1">IFERROR(MID(Table_MealDateDuplicates[[#This Row],[INDEX]],FIND("$",Table_MealDateDuplicates[[#This Row],[INDEX]]),LEN(Table_MealDateDuplicates[[#This Row],[INDEX]])-FIND("$",Table_MealDateDuplicates[[#This Row],[INDEX]])+1),"")</f>
        <v/>
      </c>
      <c r="BA7" s="30"/>
      <c r="BB7" s="30" t="b">
        <f>COUNTIFS(Table_ClaimAllocationFund[ClaimAllocation_Fund],Table_ClaimAllocationFund[[#This Row],[ClaimAllocation_Fund]],Table_ClaimAllocationFund[ISBLANK],FALSE)=COUNTIF(Table_ClaimAllocationFund[ISBLANK],FALSE)</f>
        <v>1</v>
      </c>
      <c r="BC7" s="30" t="str">
        <f>LEFT(ClaimAllocation_GL1,2)</f>
        <v/>
      </c>
      <c r="BD7" s="30" t="b">
        <f>LEN(Table_ClaimAllocationFund[[#This Row],[ClaimAllocation_Fund]])=0</f>
        <v>1</v>
      </c>
    </row>
    <row r="8" spans="1:56" x14ac:dyDescent="0.25">
      <c r="A8" s="30"/>
      <c r="B8" s="30"/>
      <c r="C8" s="6">
        <v>2</v>
      </c>
      <c r="D8" s="5">
        <f>IF(Field15_TravelStartDate="","",Field15_TravelStartDate+Table_Dates[[#This Row],[Day '#]]-1)</f>
        <v>43557</v>
      </c>
      <c r="E8" s="5">
        <f>IF(AND(Field15_TravelStartDate&lt;=Table_Dates[[#This Row],[Travel End Date Available]],Field16_TravelEndDate&gt;=Table_Dates[[#This Row],[Travel End Date Available]]),Table_Dates[[#This Row],[Travel End Date Available]],"XXXX")</f>
        <v>43557</v>
      </c>
      <c r="F8" s="30"/>
      <c r="G8" s="6" t="s">
        <v>93</v>
      </c>
      <c r="H8" s="30"/>
      <c r="I8" s="6" t="s">
        <v>1092</v>
      </c>
      <c r="J8" s="30"/>
      <c r="K8" s="6" t="str">
        <f>Table_PaymentOption[[#This Row],[Top]]&amp;IF(Table_PaymentOption[[#This Row],[Bottom]]&lt;&gt;"",CHAR(10)&amp;Table_PaymentOption[[#This Row],[Bottom]],"")</f>
        <v>Direct Deposit 
(previously submitted)</v>
      </c>
      <c r="L8" s="6" t="s">
        <v>1093</v>
      </c>
      <c r="M8" s="6" t="s">
        <v>1094</v>
      </c>
      <c r="N8" s="30"/>
      <c r="O8" s="6" t="s">
        <v>30</v>
      </c>
      <c r="Q8" s="30" t="s">
        <v>1095</v>
      </c>
      <c r="R8" s="30" t="s">
        <v>1096</v>
      </c>
      <c r="T8" s="63">
        <v>1</v>
      </c>
      <c r="U8" s="63" t="s">
        <v>1097</v>
      </c>
      <c r="V8" s="63" t="b">
        <f>ISERR(VALUE(MID(Field06B_PostalCode,Table_Postal[[#This Row],[Check '#]],1)))</f>
        <v>1</v>
      </c>
      <c r="W8" s="63" t="b">
        <f>IF($V$4=TRUE,Table_Postal[[#This Row],[Result]],TRUE)</f>
        <v>1</v>
      </c>
      <c r="X8" s="30"/>
      <c r="Y8" s="6" t="s">
        <v>1098</v>
      </c>
      <c r="Z8" s="6">
        <f t="shared" si="0"/>
        <v>0.42</v>
      </c>
      <c r="AA8" s="6" t="b">
        <v>1</v>
      </c>
      <c r="AB8" s="30"/>
      <c r="AC8" s="6" t="s">
        <v>1099</v>
      </c>
      <c r="AD8" s="30"/>
      <c r="AE8" s="6" t="s">
        <v>55</v>
      </c>
      <c r="AF8" s="6" t="b">
        <v>1</v>
      </c>
      <c r="AG8" s="30"/>
      <c r="AH8" s="6" t="s">
        <v>1100</v>
      </c>
      <c r="AI8" s="30"/>
      <c r="AJ8" s="6" t="s">
        <v>1101</v>
      </c>
      <c r="AK8" s="6" t="b">
        <v>0</v>
      </c>
      <c r="AL8" s="6"/>
      <c r="AM8" s="6" t="s">
        <v>1102</v>
      </c>
      <c r="AN8" s="6" t="b">
        <v>1</v>
      </c>
      <c r="AP8" s="30" t="s">
        <v>1103</v>
      </c>
      <c r="AQ8" s="30"/>
      <c r="AR8" s="30"/>
      <c r="AS8" s="30"/>
      <c r="AT8" s="30"/>
      <c r="AU8" s="30"/>
      <c r="AV8" s="59" t="str">
        <f>IF(INDEX(Meal_DatesArray,ROWS($AV$7:AV8),1)=0,"",INDEX(Meal_DatesArray,ROWS($AV$7:AV8)))</f>
        <v/>
      </c>
      <c r="AW8" s="31" t="e">
        <f>Table_MealDateDuplicates[[#This Row],[MealDates]]=$AV$4</f>
        <v>#N/A</v>
      </c>
      <c r="AX8" s="31">
        <v>2</v>
      </c>
      <c r="AY8" s="59" t="e">
        <f ca="1">IF(Table_MealDateDuplicates[[#This Row],[EQUALS MODE]]=TRUE,CELL("address",INDEX(Meal_DatesArray,Table_MealDateDuplicates[[#This Row],[Line]],1)),"")</f>
        <v>#N/A</v>
      </c>
      <c r="AZ8" s="59" t="str">
        <f ca="1">IFERROR(MID(Table_MealDateDuplicates[[#This Row],[INDEX]],FIND("$",Table_MealDateDuplicates[[#This Row],[INDEX]]),LEN(Table_MealDateDuplicates[[#This Row],[INDEX]])-FIND("$",Table_MealDateDuplicates[[#This Row],[INDEX]])+1),"")</f>
        <v/>
      </c>
      <c r="BA8" s="30"/>
      <c r="BB8" s="30" t="b">
        <f>COUNTIFS(Table_ClaimAllocationFund[ClaimAllocation_Fund],Table_ClaimAllocationFund[[#This Row],[ClaimAllocation_Fund]],Table_ClaimAllocationFund[ISBLANK],FALSE)=COUNTIF(Table_ClaimAllocationFund[ISBLANK],FALSE)</f>
        <v>1</v>
      </c>
      <c r="BC8" s="30" t="str">
        <f>LEFT(ClaimAllocation_GL2,2)</f>
        <v/>
      </c>
      <c r="BD8" s="30" t="b">
        <f>LEN(Table_ClaimAllocationFund[[#This Row],[ClaimAllocation_Fund]])=0</f>
        <v>1</v>
      </c>
    </row>
    <row r="9" spans="1:56" x14ac:dyDescent="0.25">
      <c r="A9" s="30"/>
      <c r="B9" s="30"/>
      <c r="C9" s="6">
        <v>3</v>
      </c>
      <c r="D9" s="5">
        <f>IF(Field15_TravelStartDate="","",Field15_TravelStartDate+Table_Dates[[#This Row],[Day '#]]-1)</f>
        <v>43558</v>
      </c>
      <c r="E9" s="5">
        <f>IF(AND(Field15_TravelStartDate&lt;=Table_Dates[[#This Row],[Travel End Date Available]],Field16_TravelEndDate&gt;=Table_Dates[[#This Row],[Travel End Date Available]]),Table_Dates[[#This Row],[Travel End Date Available]],"XXXX")</f>
        <v>43558</v>
      </c>
      <c r="F9" s="30"/>
      <c r="G9" s="6" t="s">
        <v>61</v>
      </c>
      <c r="H9" s="30"/>
      <c r="I9" s="6" t="s">
        <v>1104</v>
      </c>
      <c r="J9" s="30"/>
      <c r="K9" s="6" t="str">
        <f>Table_PaymentOption[[#This Row],[Top]]&amp;IF(Table_PaymentOption[[#This Row],[Bottom]]&lt;&gt;"",CHAR(10)&amp;Table_PaymentOption[[#This Row],[Bottom]],"")</f>
        <v>Direct Deposit 
(documentation attached)</v>
      </c>
      <c r="L9" s="6" t="s">
        <v>1093</v>
      </c>
      <c r="M9" s="6" t="s">
        <v>1105</v>
      </c>
      <c r="N9" s="30"/>
      <c r="O9" s="6" t="s">
        <v>1106</v>
      </c>
      <c r="Q9" s="30" t="s">
        <v>1107</v>
      </c>
      <c r="R9" s="30" t="s">
        <v>1108</v>
      </c>
      <c r="T9" s="63">
        <v>2</v>
      </c>
      <c r="U9" s="63" t="s">
        <v>1109</v>
      </c>
      <c r="V9" s="63" t="b">
        <f>ISERR(VALUE(MID(Field06B_PostalCode,Table_Postal[[#This Row],[Check '#]],1)))=FALSE</f>
        <v>1</v>
      </c>
      <c r="W9" s="63" t="b">
        <f>IF($V$4=TRUE,Table_Postal[[#This Row],[Result]],TRUE)</f>
        <v>1</v>
      </c>
      <c r="X9" s="30"/>
      <c r="Y9" s="6" t="s">
        <v>1110</v>
      </c>
      <c r="Z9" s="6">
        <f t="shared" si="0"/>
        <v>0.42</v>
      </c>
      <c r="AA9" s="6" t="b">
        <v>0</v>
      </c>
      <c r="AB9" s="30"/>
      <c r="AC9" s="6" t="s">
        <v>1111</v>
      </c>
      <c r="AD9" s="30"/>
      <c r="AE9" s="6" t="s">
        <v>1112</v>
      </c>
      <c r="AF9" s="6" t="b">
        <v>0</v>
      </c>
      <c r="AG9" s="30"/>
      <c r="AH9" s="6" t="s">
        <v>1113</v>
      </c>
      <c r="AI9" s="30"/>
      <c r="AJ9" s="6" t="s">
        <v>1114</v>
      </c>
      <c r="AK9" s="6" t="b">
        <v>0</v>
      </c>
      <c r="AL9" s="6"/>
      <c r="AM9" s="6" t="s">
        <v>1115</v>
      </c>
      <c r="AN9" s="6" t="b">
        <v>0</v>
      </c>
      <c r="AP9" s="30" t="s">
        <v>1116</v>
      </c>
      <c r="AQ9" s="30"/>
      <c r="AR9" s="30"/>
      <c r="AS9" s="30"/>
      <c r="AT9" s="30"/>
      <c r="AU9" s="30"/>
      <c r="AV9" s="59" t="str">
        <f>IF(INDEX(Meal_DatesArray,ROWS($AV$7:AV9),1)=0,"",INDEX(Meal_DatesArray,ROWS($AV$7:AV9)))</f>
        <v/>
      </c>
      <c r="AW9" s="31" t="e">
        <f>Table_MealDateDuplicates[[#This Row],[MealDates]]=$AV$4</f>
        <v>#N/A</v>
      </c>
      <c r="AX9" s="31">
        <v>3</v>
      </c>
      <c r="AY9" s="59" t="e">
        <f ca="1">IF(Table_MealDateDuplicates[[#This Row],[EQUALS MODE]]=TRUE,CELL("address",INDEX(Meal_DatesArray,Table_MealDateDuplicates[[#This Row],[Line]],1)),"")</f>
        <v>#N/A</v>
      </c>
      <c r="AZ9" s="59" t="str">
        <f ca="1">IFERROR(MID(Table_MealDateDuplicates[[#This Row],[INDEX]],FIND("$",Table_MealDateDuplicates[[#This Row],[INDEX]]),LEN(Table_MealDateDuplicates[[#This Row],[INDEX]])-FIND("$",Table_MealDateDuplicates[[#This Row],[INDEX]])+1),"")</f>
        <v/>
      </c>
      <c r="BA9" s="30"/>
      <c r="BB9" s="30" t="b">
        <f>COUNTIFS(Table_ClaimAllocationFund[ClaimAllocation_Fund],Table_ClaimAllocationFund[[#This Row],[ClaimAllocation_Fund]],Table_ClaimAllocationFund[ISBLANK],FALSE)=COUNTIF(Table_ClaimAllocationFund[ISBLANK],FALSE)</f>
        <v>1</v>
      </c>
      <c r="BC9" s="30" t="str">
        <f>LEFT(ClaimAllocation_GL3,2)</f>
        <v/>
      </c>
      <c r="BD9" s="30" t="b">
        <f>LEN(Table_ClaimAllocationFund[[#This Row],[ClaimAllocation_Fund]])=0</f>
        <v>1</v>
      </c>
    </row>
    <row r="10" spans="1:56" x14ac:dyDescent="0.25">
      <c r="A10" s="30"/>
      <c r="B10" s="30"/>
      <c r="C10" s="6">
        <v>4</v>
      </c>
      <c r="D10" s="5">
        <f>IF(Field15_TravelStartDate="","",Field15_TravelStartDate+Table_Dates[[#This Row],[Day '#]]-1)</f>
        <v>43559</v>
      </c>
      <c r="E10" s="5">
        <f>IF(AND(Field15_TravelStartDate&lt;=Table_Dates[[#This Row],[Travel End Date Available]],Field16_TravelEndDate&gt;=Table_Dates[[#This Row],[Travel End Date Available]]),Table_Dates[[#This Row],[Travel End Date Available]],"XXXX")</f>
        <v>43559</v>
      </c>
      <c r="F10" s="30"/>
      <c r="G10" s="6"/>
      <c r="H10" s="30"/>
      <c r="I10" s="6" t="s">
        <v>11</v>
      </c>
      <c r="J10" s="30"/>
      <c r="K10" s="6" t="str">
        <f>Table_PaymentOption[[#This Row],[Top]]&amp;IF(Table_PaymentOption[[#This Row],[Bottom]]&lt;&gt;"",CHAR(10)&amp;Table_PaymentOption[[#This Row],[Bottom]],"")</f>
        <v>Mail Cheque 
(address specified)</v>
      </c>
      <c r="L10" s="6" t="s">
        <v>1117</v>
      </c>
      <c r="M10" s="6" t="s">
        <v>1118</v>
      </c>
      <c r="N10" s="30"/>
      <c r="O10" s="6" t="s">
        <v>1119</v>
      </c>
      <c r="Q10" s="30" t="s">
        <v>1120</v>
      </c>
      <c r="R10" s="30" t="s">
        <v>1121</v>
      </c>
      <c r="T10" s="63">
        <v>3</v>
      </c>
      <c r="U10" s="63" t="s">
        <v>1097</v>
      </c>
      <c r="V10" s="63" t="b">
        <f>ISERR(VALUE(MID(Field06B_PostalCode,Table_Postal[[#This Row],[Check '#]],1)))</f>
        <v>1</v>
      </c>
      <c r="W10" s="63" t="b">
        <f>IF($V$4=TRUE,Table_Postal[[#This Row],[Result]],TRUE)</f>
        <v>1</v>
      </c>
      <c r="X10" s="30"/>
      <c r="Y10" s="6" t="s">
        <v>1122</v>
      </c>
      <c r="Z10" s="6">
        <f t="shared" si="0"/>
        <v>0.42</v>
      </c>
      <c r="AA10" s="6" t="b">
        <v>0</v>
      </c>
      <c r="AB10" s="30"/>
      <c r="AC10" s="6" t="s">
        <v>1123</v>
      </c>
      <c r="AD10" s="30"/>
      <c r="AE10" s="6" t="s">
        <v>1124</v>
      </c>
      <c r="AF10" s="6" t="b">
        <v>0</v>
      </c>
      <c r="AG10" s="30"/>
      <c r="AH10" s="30"/>
      <c r="AI10" s="30"/>
      <c r="AJ10" s="6" t="s">
        <v>1125</v>
      </c>
      <c r="AK10" s="6" t="b">
        <v>1</v>
      </c>
      <c r="AL10" s="6"/>
      <c r="AM10" s="6"/>
      <c r="AQ10" s="30"/>
      <c r="AR10" s="30"/>
      <c r="AS10" s="30"/>
      <c r="AT10" s="30"/>
      <c r="AU10" s="30"/>
      <c r="AV10" s="59" t="str">
        <f>IF(INDEX(Meal_DatesArray,ROWS($AV$7:AV10),1)=0,"",INDEX(Meal_DatesArray,ROWS($AV$7:AV10)))</f>
        <v/>
      </c>
      <c r="AW10" s="31" t="e">
        <f>Table_MealDateDuplicates[[#This Row],[MealDates]]=$AV$4</f>
        <v>#N/A</v>
      </c>
      <c r="AX10" s="31">
        <v>4</v>
      </c>
      <c r="AY10" s="59" t="e">
        <f ca="1">IF(Table_MealDateDuplicates[[#This Row],[EQUALS MODE]]=TRUE,CELL("address",INDEX(Meal_DatesArray,Table_MealDateDuplicates[[#This Row],[Line]],1)),"")</f>
        <v>#N/A</v>
      </c>
      <c r="AZ10" s="59" t="str">
        <f ca="1">IFERROR(MID(Table_MealDateDuplicates[[#This Row],[INDEX]],FIND("$",Table_MealDateDuplicates[[#This Row],[INDEX]]),LEN(Table_MealDateDuplicates[[#This Row],[INDEX]])-FIND("$",Table_MealDateDuplicates[[#This Row],[INDEX]])+1),"")</f>
        <v/>
      </c>
      <c r="BA10" s="30"/>
      <c r="BB10" s="30" t="b">
        <f>COUNTIFS(Table_ClaimAllocationFund[ClaimAllocation_Fund],Table_ClaimAllocationFund[[#This Row],[ClaimAllocation_Fund]],Table_ClaimAllocationFund[ISBLANK],FALSE)=COUNTIF(Table_ClaimAllocationFund[ISBLANK],FALSE)</f>
        <v>1</v>
      </c>
      <c r="BC10" s="30" t="str">
        <f>LEFT(ClaimAllocation_GL4,2)</f>
        <v/>
      </c>
      <c r="BD10" s="30" t="b">
        <f>LEN(Table_ClaimAllocationFund[[#This Row],[ClaimAllocation_Fund]])=0</f>
        <v>1</v>
      </c>
    </row>
    <row r="11" spans="1:56" x14ac:dyDescent="0.25">
      <c r="A11" s="30"/>
      <c r="B11" s="30"/>
      <c r="C11" s="6">
        <v>5</v>
      </c>
      <c r="D11" s="5">
        <f>IF(Field15_TravelStartDate="","",Field15_TravelStartDate+Table_Dates[[#This Row],[Day '#]]-1)</f>
        <v>43560</v>
      </c>
      <c r="E11" s="5">
        <f>IF(AND(Field15_TravelStartDate&lt;=Table_Dates[[#This Row],[Travel End Date Available]],Field16_TravelEndDate&gt;=Table_Dates[[#This Row],[Travel End Date Available]]),Table_Dates[[#This Row],[Travel End Date Available]],"XXXX")</f>
        <v>43560</v>
      </c>
      <c r="F11" s="30"/>
      <c r="G11" s="30"/>
      <c r="H11" s="30"/>
      <c r="I11" s="6"/>
      <c r="J11" s="30"/>
      <c r="K11" s="6" t="str">
        <f>Table_PaymentOption[[#This Row],[Top]]&amp;IF(Table_PaymentOption[[#This Row],[Bottom]]&lt;&gt;"",CHAR(10)&amp;Table_PaymentOption[[#This Row],[Bottom]],"")</f>
        <v>Pick Up Cheque 
(NOSM at Laurentian, Finance Unit)</v>
      </c>
      <c r="L11" s="6" t="s">
        <v>1126</v>
      </c>
      <c r="M11" s="6" t="s">
        <v>1127</v>
      </c>
      <c r="N11" s="30"/>
      <c r="O11" s="6"/>
      <c r="Q11" s="30" t="s">
        <v>1128</v>
      </c>
      <c r="R11" s="30" t="s">
        <v>1129</v>
      </c>
      <c r="T11" s="63">
        <v>4</v>
      </c>
      <c r="U11" s="63" t="s">
        <v>1130</v>
      </c>
      <c r="V11" s="63" t="b">
        <f>MID(Field06B_PostalCode,Table_Postal[[#This Row],[Check '#]],1)=" "</f>
        <v>1</v>
      </c>
      <c r="W11" s="63" t="b">
        <f>IF($V$4=TRUE,Table_Postal[[#This Row],[Result]],TRUE)</f>
        <v>1</v>
      </c>
      <c r="X11" s="30"/>
      <c r="Y11" s="6" t="s">
        <v>37</v>
      </c>
      <c r="Z11" s="6">
        <v>0.155</v>
      </c>
      <c r="AA11" s="6" t="b">
        <v>0</v>
      </c>
      <c r="AB11" s="30"/>
      <c r="AC11" s="6" t="s">
        <v>1131</v>
      </c>
      <c r="AD11" s="30"/>
      <c r="AE11" s="30"/>
      <c r="AF11" s="30"/>
      <c r="AG11" s="30"/>
      <c r="AH11" s="30"/>
      <c r="AI11" s="30"/>
      <c r="AJ11" s="30"/>
      <c r="AM11" s="30" t="s">
        <v>1132</v>
      </c>
      <c r="AQ11" s="30"/>
      <c r="AR11" s="30"/>
      <c r="AS11" s="30"/>
      <c r="AT11" s="30"/>
      <c r="AU11" s="30"/>
      <c r="AV11" s="59" t="str">
        <f>IF(INDEX(Meal_DatesArray,ROWS($AV$7:AV11),1)=0,"",INDEX(Meal_DatesArray,ROWS($AV$7:AV11)))</f>
        <v/>
      </c>
      <c r="AW11" s="31" t="e">
        <f>Table_MealDateDuplicates[[#This Row],[MealDates]]=$AV$4</f>
        <v>#N/A</v>
      </c>
      <c r="AX11" s="31">
        <v>5</v>
      </c>
      <c r="AY11" s="59" t="e">
        <f ca="1">IF(Table_MealDateDuplicates[[#This Row],[EQUALS MODE]]=TRUE,CELL("address",INDEX(Meal_DatesArray,Table_MealDateDuplicates[[#This Row],[Line]],1)),"")</f>
        <v>#N/A</v>
      </c>
      <c r="AZ11" s="59" t="str">
        <f ca="1">IFERROR(MID(Table_MealDateDuplicates[[#This Row],[INDEX]],FIND("$",Table_MealDateDuplicates[[#This Row],[INDEX]]),LEN(Table_MealDateDuplicates[[#This Row],[INDEX]])-FIND("$",Table_MealDateDuplicates[[#This Row],[INDEX]])+1),"")</f>
        <v/>
      </c>
      <c r="BA11" s="30"/>
      <c r="BC11" s="30"/>
      <c r="BD11" s="30"/>
    </row>
    <row r="12" spans="1:56" x14ac:dyDescent="0.25">
      <c r="A12" s="30"/>
      <c r="B12" s="30"/>
      <c r="C12" s="6">
        <v>6</v>
      </c>
      <c r="D12" s="5">
        <f>IF(Field15_TravelStartDate="","",Field15_TravelStartDate+Table_Dates[[#This Row],[Day '#]]-1)</f>
        <v>43561</v>
      </c>
      <c r="E12" s="5">
        <f>IF(AND(Field15_TravelStartDate&lt;=Table_Dates[[#This Row],[Travel End Date Available]],Field16_TravelEndDate&gt;=Table_Dates[[#This Row],[Travel End Date Available]]),Table_Dates[[#This Row],[Travel End Date Available]],"XXXX")</f>
        <v>43561</v>
      </c>
      <c r="F12" s="30"/>
      <c r="G12" s="30"/>
      <c r="H12" s="30"/>
      <c r="I12" s="6" t="s">
        <v>1133</v>
      </c>
      <c r="J12" s="30"/>
      <c r="K12" s="6" t="str">
        <f>Table_PaymentOption[[#This Row],[Top]]&amp;IF(Table_PaymentOption[[#This Row],[Bottom]]&lt;&gt;"",CHAR(10)&amp;Table_PaymentOption[[#This Row],[Bottom]],"")</f>
        <v>Pick Up Cheque 
(NOSM at Lakehead, Finance Unit)</v>
      </c>
      <c r="L12" s="6" t="s">
        <v>1126</v>
      </c>
      <c r="M12" s="6" t="s">
        <v>1134</v>
      </c>
      <c r="N12" s="30"/>
      <c r="O12" s="6"/>
      <c r="Q12" s="30" t="s">
        <v>1135</v>
      </c>
      <c r="R12" s="30" t="s">
        <v>1136</v>
      </c>
      <c r="T12" s="63">
        <v>5</v>
      </c>
      <c r="U12" s="63" t="s">
        <v>1109</v>
      </c>
      <c r="V12" s="63" t="b">
        <f>ISERR(VALUE(MID(Field06B_PostalCode,Table_Postal[[#This Row],[Check '#]],1)))=FALSE</f>
        <v>1</v>
      </c>
      <c r="W12" s="63" t="b">
        <f>IF($V$4=TRUE,Table_Postal[[#This Row],[Result]],TRUE)</f>
        <v>1</v>
      </c>
      <c r="X12" s="30"/>
      <c r="Y12" s="6" t="s">
        <v>1137</v>
      </c>
      <c r="Z12" s="6">
        <f t="shared" si="0"/>
        <v>0.42</v>
      </c>
      <c r="AA12" s="6" t="b">
        <v>0</v>
      </c>
      <c r="AB12" s="30"/>
      <c r="AC12" s="6" t="s">
        <v>34</v>
      </c>
      <c r="AD12" s="30"/>
      <c r="AE12" s="30"/>
      <c r="AF12" s="30"/>
      <c r="AG12" s="30"/>
      <c r="AH12" s="30"/>
      <c r="AI12" s="30"/>
      <c r="AJ12" s="30"/>
      <c r="AM12" s="30" t="s">
        <v>1138</v>
      </c>
      <c r="AQ12" s="30"/>
      <c r="AR12" s="30"/>
      <c r="AS12" s="30"/>
      <c r="AT12" s="30"/>
      <c r="AU12" s="30"/>
      <c r="AV12" s="59" t="str">
        <f>IF(INDEX(Meal_DatesArray,ROWS($AV$7:AV12),1)=0,"",INDEX(Meal_DatesArray,ROWS($AV$7:AV12)))</f>
        <v/>
      </c>
      <c r="AW12" s="31" t="e">
        <f>Table_MealDateDuplicates[[#This Row],[MealDates]]=$AV$4</f>
        <v>#N/A</v>
      </c>
      <c r="AX12" s="31">
        <v>6</v>
      </c>
      <c r="AY12" s="59" t="e">
        <f ca="1">IF(Table_MealDateDuplicates[[#This Row],[EQUALS MODE]]=TRUE,CELL("address",INDEX(Meal_DatesArray,Table_MealDateDuplicates[[#This Row],[Line]],1)),"")</f>
        <v>#N/A</v>
      </c>
      <c r="AZ12" s="59" t="str">
        <f ca="1">IFERROR(MID(Table_MealDateDuplicates[[#This Row],[INDEX]],FIND("$",Table_MealDateDuplicates[[#This Row],[INDEX]]),LEN(Table_MealDateDuplicates[[#This Row],[INDEX]])-FIND("$",Table_MealDateDuplicates[[#This Row],[INDEX]])+1),"")</f>
        <v/>
      </c>
      <c r="BA12" s="30"/>
      <c r="BC12" s="30"/>
      <c r="BD12" s="30"/>
    </row>
    <row r="13" spans="1:56" x14ac:dyDescent="0.25">
      <c r="A13" s="30"/>
      <c r="B13" s="30"/>
      <c r="C13" s="6">
        <v>7</v>
      </c>
      <c r="D13" s="5">
        <f>IF(Field15_TravelStartDate="","",Field15_TravelStartDate+Table_Dates[[#This Row],[Day '#]]-1)</f>
        <v>43562</v>
      </c>
      <c r="E13" s="5">
        <f>IF(AND(Field15_TravelStartDate&lt;=Table_Dates[[#This Row],[Travel End Date Available]],Field16_TravelEndDate&gt;=Table_Dates[[#This Row],[Travel End Date Available]]),Table_Dates[[#This Row],[Travel End Date Available]],"XXXX")</f>
        <v>43562</v>
      </c>
      <c r="F13" s="30"/>
      <c r="G13" s="30"/>
      <c r="H13" s="30"/>
      <c r="I13" s="30" t="s">
        <v>1139</v>
      </c>
      <c r="J13" s="30"/>
      <c r="K13" s="30"/>
      <c r="L13" s="30"/>
      <c r="M13" s="30"/>
      <c r="N13" s="30"/>
      <c r="O13" s="6"/>
      <c r="Q13" s="30" t="s">
        <v>1140</v>
      </c>
      <c r="R13" s="30" t="s">
        <v>27</v>
      </c>
      <c r="T13" s="63">
        <v>6</v>
      </c>
      <c r="U13" s="63" t="s">
        <v>1097</v>
      </c>
      <c r="V13" s="63" t="b">
        <f>ISERR(VALUE(MID(Field06B_PostalCode,Table_Postal[[#This Row],[Check '#]],1)))</f>
        <v>1</v>
      </c>
      <c r="W13" s="63" t="b">
        <f>IF($V$4=TRUE,Table_Postal[[#This Row],[Result]],TRUE)</f>
        <v>1</v>
      </c>
      <c r="X13" s="30"/>
      <c r="Y13" s="6"/>
      <c r="Z13" s="6"/>
      <c r="AB13" s="30"/>
      <c r="AC13" s="6" t="s">
        <v>1141</v>
      </c>
      <c r="AD13" s="30"/>
      <c r="AE13" s="30"/>
      <c r="AF13" s="30"/>
      <c r="AG13" s="30"/>
      <c r="AH13" s="30"/>
      <c r="AI13" s="30"/>
      <c r="AJ13" s="30"/>
      <c r="AM13" s="30" t="s">
        <v>1142</v>
      </c>
      <c r="AQ13" s="30"/>
      <c r="AR13" s="30"/>
      <c r="AS13" s="30"/>
      <c r="AT13" s="30"/>
      <c r="AU13" s="30"/>
      <c r="AV13" s="59" t="str">
        <f>IF(INDEX(Meal_DatesArray,ROWS($AV$7:AV13),1)=0,"",INDEX(Meal_DatesArray,ROWS($AV$7:AV13)))</f>
        <v/>
      </c>
      <c r="AW13" s="31" t="e">
        <f>Table_MealDateDuplicates[[#This Row],[MealDates]]=$AV$4</f>
        <v>#N/A</v>
      </c>
      <c r="AX13" s="31">
        <v>7</v>
      </c>
      <c r="AY13" s="59" t="e">
        <f ca="1">IF(Table_MealDateDuplicates[[#This Row],[EQUALS MODE]]=TRUE,CELL("address",INDEX(Meal_DatesArray,Table_MealDateDuplicates[[#This Row],[Line]],1)),"")</f>
        <v>#N/A</v>
      </c>
      <c r="AZ13" s="59" t="str">
        <f ca="1">IFERROR(MID(Table_MealDateDuplicates[[#This Row],[INDEX]],FIND("$",Table_MealDateDuplicates[[#This Row],[INDEX]]),LEN(Table_MealDateDuplicates[[#This Row],[INDEX]])-FIND("$",Table_MealDateDuplicates[[#This Row],[INDEX]])+1),"")</f>
        <v/>
      </c>
      <c r="BA13" s="30"/>
      <c r="BC13" s="30"/>
      <c r="BD13" s="30"/>
    </row>
    <row r="14" spans="1:56" x14ac:dyDescent="0.25">
      <c r="A14" s="30"/>
      <c r="B14" s="30"/>
      <c r="C14" s="6">
        <v>8</v>
      </c>
      <c r="D14" s="5">
        <f>IF(Field15_TravelStartDate="","",Field15_TravelStartDate+Table_Dates[[#This Row],[Day '#]]-1)</f>
        <v>43563</v>
      </c>
      <c r="E14" s="5">
        <f>IF(AND(Field15_TravelStartDate&lt;=Table_Dates[[#This Row],[Travel End Date Available]],Field16_TravelEndDate&gt;=Table_Dates[[#This Row],[Travel End Date Available]]),Table_Dates[[#This Row],[Travel End Date Available]],"XXXX")</f>
        <v>43563</v>
      </c>
      <c r="F14" s="30"/>
      <c r="G14" s="30"/>
      <c r="H14" s="30"/>
      <c r="I14" s="30"/>
      <c r="J14" s="30"/>
      <c r="K14" s="30"/>
      <c r="L14" s="30"/>
      <c r="M14" s="30"/>
      <c r="N14" s="30"/>
      <c r="O14" s="30"/>
      <c r="Q14" s="30" t="s">
        <v>1143</v>
      </c>
      <c r="R14" s="30" t="s">
        <v>1144</v>
      </c>
      <c r="T14" s="63">
        <v>7</v>
      </c>
      <c r="U14" s="63" t="s">
        <v>1109</v>
      </c>
      <c r="V14" s="63" t="b">
        <f>ISERR(VALUE(MID(Field06B_PostalCode,Table_Postal[[#This Row],[Check '#]],1)))=FALSE</f>
        <v>1</v>
      </c>
      <c r="W14" s="63" t="b">
        <f>IF($V$4=TRUE,Table_Postal[[#This Row],[Result]],TRUE)</f>
        <v>1</v>
      </c>
      <c r="X14" s="30"/>
      <c r="Y14" s="63"/>
      <c r="Z14" s="6"/>
      <c r="AB14" s="30"/>
      <c r="AC14" s="6" t="s">
        <v>1145</v>
      </c>
      <c r="AD14" s="30"/>
      <c r="AE14" s="30"/>
      <c r="AF14" s="30"/>
      <c r="AG14" s="30"/>
      <c r="AH14" s="30"/>
      <c r="AI14" s="30"/>
      <c r="AJ14" s="30"/>
      <c r="AM14" s="30" t="s">
        <v>1146</v>
      </c>
      <c r="AQ14" s="30"/>
      <c r="AR14" s="30"/>
      <c r="AS14" s="30"/>
      <c r="AT14" s="30"/>
      <c r="AU14" s="30"/>
      <c r="AV14" s="59" t="str">
        <f>IF(INDEX(Meal_DatesArray,ROWS($AV$7:AV14),1)=0,"",INDEX(Meal_DatesArray,ROWS($AV$7:AV14)))</f>
        <v/>
      </c>
      <c r="AW14" s="31" t="e">
        <f>Table_MealDateDuplicates[[#This Row],[MealDates]]=$AV$4</f>
        <v>#N/A</v>
      </c>
      <c r="AX14" s="31">
        <v>8</v>
      </c>
      <c r="AY14" s="59" t="e">
        <f ca="1">IF(Table_MealDateDuplicates[[#This Row],[EQUALS MODE]]=TRUE,CELL("address",INDEX(Meal_DatesArray,Table_MealDateDuplicates[[#This Row],[Line]],1)),"")</f>
        <v>#N/A</v>
      </c>
      <c r="AZ14" s="59" t="str">
        <f ca="1">IFERROR(MID(Table_MealDateDuplicates[[#This Row],[INDEX]],FIND("$",Table_MealDateDuplicates[[#This Row],[INDEX]]),LEN(Table_MealDateDuplicates[[#This Row],[INDEX]])-FIND("$",Table_MealDateDuplicates[[#This Row],[INDEX]])+1),"")</f>
        <v/>
      </c>
      <c r="BA14" s="30"/>
      <c r="BC14" s="30"/>
      <c r="BD14" s="30"/>
    </row>
    <row r="15" spans="1:56" x14ac:dyDescent="0.25">
      <c r="A15" s="30"/>
      <c r="B15" s="30"/>
      <c r="C15" s="6">
        <v>9</v>
      </c>
      <c r="D15" s="5">
        <f>IF(Field15_TravelStartDate="","",Field15_TravelStartDate+Table_Dates[[#This Row],[Day '#]]-1)</f>
        <v>43564</v>
      </c>
      <c r="E15" s="5">
        <f>IF(AND(Field15_TravelStartDate&lt;=Table_Dates[[#This Row],[Travel End Date Available]],Field16_TravelEndDate&gt;=Table_Dates[[#This Row],[Travel End Date Available]]),Table_Dates[[#This Row],[Travel End Date Available]],"XXXX")</f>
        <v>43564</v>
      </c>
      <c r="F15" s="30"/>
      <c r="G15" s="30"/>
      <c r="H15" s="30"/>
      <c r="I15" s="30"/>
      <c r="J15" s="30"/>
      <c r="K15" s="30"/>
      <c r="L15" s="30"/>
      <c r="M15" s="30"/>
      <c r="N15" s="30"/>
      <c r="O15" s="30"/>
      <c r="Q15" s="30" t="s">
        <v>1147</v>
      </c>
      <c r="R15" s="30" t="s">
        <v>1148</v>
      </c>
      <c r="X15" s="30"/>
      <c r="Y15" s="30"/>
      <c r="AB15" s="30"/>
      <c r="AC15" s="30"/>
      <c r="AD15" s="30"/>
      <c r="AE15" s="30"/>
      <c r="AF15" s="30"/>
      <c r="AG15" s="30"/>
      <c r="AH15" s="30"/>
      <c r="AI15" s="30"/>
      <c r="AJ15" s="30"/>
      <c r="AQ15" s="30"/>
      <c r="AR15" s="30"/>
      <c r="AS15" s="30"/>
      <c r="AT15" s="30"/>
      <c r="AU15" s="30"/>
      <c r="AV15" s="59" t="str">
        <f>IF(INDEX(Meal_DatesArray,ROWS($AV$7:AV15),1)=0,"",INDEX(Meal_DatesArray,ROWS($AV$7:AV15)))</f>
        <v/>
      </c>
      <c r="AW15" s="31" t="e">
        <f>Table_MealDateDuplicates[[#This Row],[MealDates]]=$AV$4</f>
        <v>#N/A</v>
      </c>
      <c r="AX15" s="31">
        <v>9</v>
      </c>
      <c r="AY15" s="59" t="e">
        <f ca="1">IF(Table_MealDateDuplicates[[#This Row],[EQUALS MODE]]=TRUE,CELL("address",INDEX(Meal_DatesArray,Table_MealDateDuplicates[[#This Row],[Line]],1)),"")</f>
        <v>#N/A</v>
      </c>
      <c r="AZ15" s="59" t="str">
        <f ca="1">IFERROR(MID(Table_MealDateDuplicates[[#This Row],[INDEX]],FIND("$",Table_MealDateDuplicates[[#This Row],[INDEX]]),LEN(Table_MealDateDuplicates[[#This Row],[INDEX]])-FIND("$",Table_MealDateDuplicates[[#This Row],[INDEX]])+1),"")</f>
        <v/>
      </c>
      <c r="BA15" s="30"/>
      <c r="BC15" s="30"/>
      <c r="BD15" s="30"/>
    </row>
    <row r="16" spans="1:56" x14ac:dyDescent="0.25">
      <c r="A16" s="30"/>
      <c r="B16" s="30"/>
      <c r="C16" s="6">
        <v>10</v>
      </c>
      <c r="D16" s="5">
        <f>IF(Field15_TravelStartDate="","",Field15_TravelStartDate+Table_Dates[[#This Row],[Day '#]]-1)</f>
        <v>43565</v>
      </c>
      <c r="E16" s="5">
        <f>IF(AND(Field15_TravelStartDate&lt;=Table_Dates[[#This Row],[Travel End Date Available]],Field16_TravelEndDate&gt;=Table_Dates[[#This Row],[Travel End Date Available]]),Table_Dates[[#This Row],[Travel End Date Available]],"XXXX")</f>
        <v>43565</v>
      </c>
      <c r="F16" s="30"/>
      <c r="G16" s="30"/>
      <c r="H16" s="30"/>
      <c r="I16" s="30"/>
      <c r="J16" s="30"/>
      <c r="K16" s="30"/>
      <c r="L16" s="30"/>
      <c r="M16" s="30"/>
      <c r="N16" s="30"/>
      <c r="O16" s="30"/>
      <c r="Q16" s="30" t="s">
        <v>1149</v>
      </c>
      <c r="R16" s="30" t="s">
        <v>1150</v>
      </c>
      <c r="V16" s="138" t="s">
        <v>1151</v>
      </c>
      <c r="W16" s="48" t="b">
        <f>SUMPRODUCT(--Table_Postal[Result (if needed)])=8</f>
        <v>1</v>
      </c>
      <c r="X16" s="30"/>
      <c r="Y16" s="30"/>
      <c r="AB16" s="30"/>
      <c r="AC16" s="30"/>
      <c r="AD16" s="30"/>
      <c r="AE16" s="30"/>
      <c r="AF16" s="30"/>
      <c r="AG16" s="30"/>
      <c r="AH16" s="30"/>
      <c r="AI16" s="30"/>
      <c r="AJ16" s="30"/>
      <c r="AQ16" s="30"/>
      <c r="AR16" s="30"/>
      <c r="AS16" s="30"/>
      <c r="AT16" s="30"/>
      <c r="AU16" s="30"/>
      <c r="AV16" s="59" t="str">
        <f>IF(INDEX(Meal_DatesArray,ROWS($AV$7:AV16),1)=0,"",INDEX(Meal_DatesArray,ROWS($AV$7:AV16)))</f>
        <v/>
      </c>
      <c r="AW16" s="31" t="e">
        <f>Table_MealDateDuplicates[[#This Row],[MealDates]]=$AV$4</f>
        <v>#N/A</v>
      </c>
      <c r="AX16" s="31">
        <v>10</v>
      </c>
      <c r="AY16" s="59" t="e">
        <f ca="1">IF(Table_MealDateDuplicates[[#This Row],[EQUALS MODE]]=TRUE,CELL("address",INDEX(Meal_DatesArray,Table_MealDateDuplicates[[#This Row],[Line]],1)),"")</f>
        <v>#N/A</v>
      </c>
      <c r="AZ16" s="59" t="str">
        <f ca="1">IFERROR(MID(Table_MealDateDuplicates[[#This Row],[INDEX]],FIND("$",Table_MealDateDuplicates[[#This Row],[INDEX]]),LEN(Table_MealDateDuplicates[[#This Row],[INDEX]])-FIND("$",Table_MealDateDuplicates[[#This Row],[INDEX]])+1),"")</f>
        <v/>
      </c>
      <c r="BA16" s="30"/>
      <c r="BC16" s="30"/>
      <c r="BD16" s="30"/>
    </row>
    <row r="17" spans="3:51" x14ac:dyDescent="0.25">
      <c r="C17" s="6">
        <v>11</v>
      </c>
      <c r="D17" s="5">
        <f>IF(Field15_TravelStartDate="","",Field15_TravelStartDate+Table_Dates[[#This Row],[Day '#]]-1)</f>
        <v>43566</v>
      </c>
      <c r="E17" s="5">
        <f>IF(AND(Field15_TravelStartDate&lt;=Table_Dates[[#This Row],[Travel End Date Available]],Field16_TravelEndDate&gt;=Table_Dates[[#This Row],[Travel End Date Available]]),Table_Dates[[#This Row],[Travel End Date Available]],"XXXX")</f>
        <v>43566</v>
      </c>
      <c r="F17" s="30"/>
      <c r="G17" s="30"/>
      <c r="H17" s="30"/>
      <c r="I17" s="30"/>
      <c r="J17" s="30"/>
      <c r="K17" s="30"/>
      <c r="L17" s="30"/>
      <c r="M17" s="30"/>
      <c r="N17" s="30"/>
      <c r="O17" s="30"/>
      <c r="Q17" s="30" t="s">
        <v>1152</v>
      </c>
      <c r="R17" s="30" t="s">
        <v>1153</v>
      </c>
      <c r="X17" s="30"/>
      <c r="Y17" s="30"/>
      <c r="AB17" s="30"/>
      <c r="AC17" s="30"/>
      <c r="AD17" s="30"/>
      <c r="AE17" s="30"/>
      <c r="AF17" s="30"/>
      <c r="AG17" s="30"/>
      <c r="AH17" s="30"/>
      <c r="AI17" s="30"/>
      <c r="AJ17" s="30"/>
      <c r="AQ17" s="30"/>
      <c r="AR17" s="30"/>
      <c r="AS17" s="30"/>
      <c r="AT17" s="30"/>
      <c r="AU17" s="30"/>
      <c r="AV17" s="59"/>
      <c r="AW17" s="30"/>
      <c r="AY17" s="30"/>
    </row>
    <row r="18" spans="3:51" x14ac:dyDescent="0.25">
      <c r="C18" s="6">
        <v>12</v>
      </c>
      <c r="D18" s="5">
        <f>IF(Field15_TravelStartDate="","",Field15_TravelStartDate+Table_Dates[[#This Row],[Day '#]]-1)</f>
        <v>43567</v>
      </c>
      <c r="E18" s="5">
        <f>IF(AND(Field15_TravelStartDate&lt;=Table_Dates[[#This Row],[Travel End Date Available]],Field16_TravelEndDate&gt;=Table_Dates[[#This Row],[Travel End Date Available]]),Table_Dates[[#This Row],[Travel End Date Available]],"XXXX")</f>
        <v>43567</v>
      </c>
      <c r="F18" s="30"/>
      <c r="G18" s="30"/>
      <c r="H18" s="30"/>
      <c r="I18" s="30"/>
      <c r="J18" s="30"/>
      <c r="K18" s="30"/>
      <c r="L18" s="30"/>
      <c r="M18" s="30"/>
      <c r="N18" s="30"/>
      <c r="O18" s="30"/>
      <c r="Q18" s="30" t="s">
        <v>1154</v>
      </c>
      <c r="R18" s="30" t="s">
        <v>1155</v>
      </c>
      <c r="X18" s="30"/>
      <c r="Y18" s="30"/>
      <c r="AB18" s="30"/>
      <c r="AC18" s="30"/>
      <c r="AD18" s="30"/>
      <c r="AE18" s="30"/>
      <c r="AF18" s="30"/>
      <c r="AG18" s="30"/>
      <c r="AH18" s="30"/>
      <c r="AI18" s="30"/>
      <c r="AJ18" s="30"/>
      <c r="AQ18" s="30"/>
      <c r="AR18" s="30"/>
      <c r="AS18" s="30"/>
      <c r="AT18" s="30"/>
      <c r="AU18" s="30"/>
      <c r="AV18" s="59"/>
      <c r="AW18" s="30"/>
      <c r="AY18" s="11"/>
    </row>
    <row r="19" spans="3:51" x14ac:dyDescent="0.25">
      <c r="C19" s="6">
        <v>13</v>
      </c>
      <c r="D19" s="5">
        <f>IF(Field15_TravelStartDate="","",Field15_TravelStartDate+Table_Dates[[#This Row],[Day '#]]-1)</f>
        <v>43568</v>
      </c>
      <c r="E19" s="5">
        <f>IF(AND(Field15_TravelStartDate&lt;=Table_Dates[[#This Row],[Travel End Date Available]],Field16_TravelEndDate&gt;=Table_Dates[[#This Row],[Travel End Date Available]]),Table_Dates[[#This Row],[Travel End Date Available]],"XXXX")</f>
        <v>43568</v>
      </c>
      <c r="F19" s="30"/>
      <c r="G19" s="30"/>
      <c r="H19" s="30"/>
      <c r="I19" s="30"/>
      <c r="J19" s="30"/>
      <c r="K19" s="30"/>
      <c r="L19" s="30"/>
      <c r="M19" s="30"/>
      <c r="N19" s="30"/>
      <c r="O19" s="30"/>
      <c r="Q19" s="30" t="s">
        <v>1156</v>
      </c>
      <c r="R19" s="30" t="s">
        <v>1157</v>
      </c>
      <c r="X19" s="30"/>
      <c r="Y19" s="30"/>
      <c r="AB19" s="30"/>
      <c r="AC19" s="30"/>
      <c r="AD19" s="30"/>
      <c r="AE19" s="30"/>
      <c r="AF19" s="30"/>
      <c r="AG19" s="30"/>
      <c r="AH19" s="30"/>
      <c r="AI19" s="30"/>
      <c r="AJ19" s="30"/>
      <c r="AQ19" s="30"/>
      <c r="AR19" s="30"/>
      <c r="AS19" s="30"/>
      <c r="AT19" s="30"/>
      <c r="AU19" s="30"/>
      <c r="AV19" s="59"/>
      <c r="AW19" s="30"/>
      <c r="AY19" s="30"/>
    </row>
    <row r="20" spans="3:51" x14ac:dyDescent="0.25">
      <c r="C20" s="6">
        <v>14</v>
      </c>
      <c r="D20" s="5">
        <f>IF(Field15_TravelStartDate="","",Field15_TravelStartDate+Table_Dates[[#This Row],[Day '#]]-1)</f>
        <v>43569</v>
      </c>
      <c r="E20" s="5">
        <f>IF(AND(Field15_TravelStartDate&lt;=Table_Dates[[#This Row],[Travel End Date Available]],Field16_TravelEndDate&gt;=Table_Dates[[#This Row],[Travel End Date Available]]),Table_Dates[[#This Row],[Travel End Date Available]],"XXXX")</f>
        <v>43569</v>
      </c>
      <c r="F20" s="30"/>
      <c r="G20" s="30"/>
      <c r="H20" s="30"/>
      <c r="I20" s="30"/>
      <c r="J20" s="30"/>
      <c r="K20" s="30"/>
      <c r="L20" s="30"/>
      <c r="M20" s="30"/>
      <c r="N20" s="30"/>
      <c r="O20" s="30"/>
      <c r="Q20" s="30" t="s">
        <v>1158</v>
      </c>
      <c r="R20" s="30" t="s">
        <v>1159</v>
      </c>
      <c r="X20" s="30"/>
      <c r="Y20" s="30"/>
      <c r="AB20" s="30"/>
      <c r="AC20" s="30"/>
      <c r="AD20" s="30"/>
      <c r="AE20" s="30"/>
      <c r="AF20" s="30"/>
      <c r="AG20" s="30"/>
      <c r="AH20" s="30"/>
      <c r="AI20" s="30"/>
      <c r="AJ20" s="30"/>
      <c r="AQ20" s="30"/>
      <c r="AR20" s="30"/>
      <c r="AS20" s="30"/>
      <c r="AT20" s="30"/>
      <c r="AU20" s="30"/>
      <c r="AV20" s="30"/>
      <c r="AW20" s="30"/>
      <c r="AY20" s="30"/>
    </row>
    <row r="21" spans="3:51" x14ac:dyDescent="0.25">
      <c r="C21" s="6">
        <v>15</v>
      </c>
      <c r="D21" s="5">
        <f>IF(Field15_TravelStartDate="","",Field15_TravelStartDate+Table_Dates[[#This Row],[Day '#]]-1)</f>
        <v>43570</v>
      </c>
      <c r="E21" s="5">
        <f>IF(AND(Field15_TravelStartDate&lt;=Table_Dates[[#This Row],[Travel End Date Available]],Field16_TravelEndDate&gt;=Table_Dates[[#This Row],[Travel End Date Available]]),Table_Dates[[#This Row],[Travel End Date Available]],"XXXX")</f>
        <v>43570</v>
      </c>
      <c r="F21" s="30"/>
      <c r="G21" s="30"/>
      <c r="H21" s="30"/>
      <c r="I21" s="30"/>
      <c r="J21" s="30"/>
      <c r="K21" s="30"/>
      <c r="L21" s="30"/>
      <c r="M21" s="30"/>
      <c r="N21" s="30"/>
      <c r="O21" s="30"/>
      <c r="Q21" s="30" t="s">
        <v>1160</v>
      </c>
      <c r="R21" s="30" t="s">
        <v>1161</v>
      </c>
      <c r="X21" s="30"/>
      <c r="Y21" s="30"/>
      <c r="AB21" s="30"/>
      <c r="AC21" s="30"/>
      <c r="AD21" s="30"/>
      <c r="AE21" s="30"/>
      <c r="AF21" s="30"/>
      <c r="AG21" s="30"/>
      <c r="AH21" s="30"/>
      <c r="AI21" s="30"/>
      <c r="AJ21" s="30"/>
      <c r="AQ21" s="30"/>
      <c r="AR21" s="30"/>
      <c r="AS21" s="30"/>
      <c r="AT21" s="30"/>
      <c r="AU21" s="30"/>
      <c r="AV21" s="30"/>
      <c r="AW21" s="30"/>
      <c r="AY21" s="30"/>
    </row>
    <row r="22" spans="3:51" x14ac:dyDescent="0.25">
      <c r="C22" s="6">
        <v>16</v>
      </c>
      <c r="D22" s="5">
        <f>IF(Field15_TravelStartDate="","",Field15_TravelStartDate+Table_Dates[[#This Row],[Day '#]]-1)</f>
        <v>43571</v>
      </c>
      <c r="E22" s="5">
        <f>IF(AND(Field15_TravelStartDate&lt;=Table_Dates[[#This Row],[Travel End Date Available]],Field16_TravelEndDate&gt;=Table_Dates[[#This Row],[Travel End Date Available]]),Table_Dates[[#This Row],[Travel End Date Available]],"XXXX")</f>
        <v>43571</v>
      </c>
      <c r="F22" s="30"/>
      <c r="G22" s="30"/>
      <c r="H22" s="30"/>
      <c r="I22" s="30"/>
      <c r="J22" s="30"/>
      <c r="K22" s="30"/>
      <c r="L22" s="30"/>
      <c r="M22" s="30"/>
      <c r="N22" s="30"/>
      <c r="O22" s="30"/>
      <c r="X22" s="30"/>
      <c r="Y22" s="30"/>
      <c r="AB22" s="30"/>
      <c r="AC22" s="30"/>
      <c r="AD22" s="30"/>
      <c r="AE22" s="30"/>
      <c r="AF22" s="30"/>
      <c r="AG22" s="30"/>
      <c r="AH22" s="30"/>
      <c r="AI22" s="30"/>
      <c r="AJ22" s="30"/>
      <c r="AQ22" s="30"/>
      <c r="AR22" s="30"/>
      <c r="AS22" s="30"/>
      <c r="AT22" s="30"/>
      <c r="AU22" s="30"/>
      <c r="AV22" s="30"/>
      <c r="AW22" s="30"/>
      <c r="AY22" s="30"/>
    </row>
    <row r="23" spans="3:51" x14ac:dyDescent="0.25">
      <c r="C23" s="6">
        <v>17</v>
      </c>
      <c r="D23" s="5">
        <f>IF(Field15_TravelStartDate="","",Field15_TravelStartDate+Table_Dates[[#This Row],[Day '#]]-1)</f>
        <v>43572</v>
      </c>
      <c r="E23" s="5">
        <f>IF(AND(Field15_TravelStartDate&lt;=Table_Dates[[#This Row],[Travel End Date Available]],Field16_TravelEndDate&gt;=Table_Dates[[#This Row],[Travel End Date Available]]),Table_Dates[[#This Row],[Travel End Date Available]],"XXXX")</f>
        <v>43572</v>
      </c>
      <c r="F23" s="30"/>
      <c r="G23" s="30"/>
      <c r="H23" s="30"/>
      <c r="I23" s="30"/>
      <c r="J23" s="30"/>
      <c r="K23" s="30"/>
      <c r="L23" s="30"/>
      <c r="M23" s="30"/>
      <c r="N23" s="30"/>
      <c r="O23" s="30"/>
      <c r="X23" s="30"/>
      <c r="Y23" s="30"/>
      <c r="AB23" s="30"/>
      <c r="AC23" s="30"/>
      <c r="AD23" s="30"/>
      <c r="AE23" s="30"/>
      <c r="AF23" s="30"/>
      <c r="AG23" s="30"/>
      <c r="AH23" s="30"/>
      <c r="AI23" s="30"/>
      <c r="AJ23" s="30"/>
      <c r="AQ23" s="30"/>
      <c r="AR23" s="30"/>
      <c r="AS23" s="30"/>
      <c r="AT23" s="30"/>
      <c r="AU23" s="30"/>
      <c r="AV23" s="30"/>
      <c r="AW23" s="30"/>
      <c r="AY23" s="30"/>
    </row>
    <row r="24" spans="3:51" x14ac:dyDescent="0.25">
      <c r="C24" s="6">
        <v>18</v>
      </c>
      <c r="D24" s="5">
        <f>IF(Field15_TravelStartDate="","",Field15_TravelStartDate+Table_Dates[[#This Row],[Day '#]]-1)</f>
        <v>43573</v>
      </c>
      <c r="E24" s="5">
        <f>IF(AND(Field15_TravelStartDate&lt;=Table_Dates[[#This Row],[Travel End Date Available]],Field16_TravelEndDate&gt;=Table_Dates[[#This Row],[Travel End Date Available]]),Table_Dates[[#This Row],[Travel End Date Available]],"XXXX")</f>
        <v>43573</v>
      </c>
      <c r="F24" s="30"/>
      <c r="G24" s="30"/>
      <c r="H24" s="30"/>
      <c r="I24" s="30"/>
      <c r="J24" s="30"/>
      <c r="K24" s="30"/>
      <c r="L24" s="30"/>
      <c r="M24" s="30"/>
      <c r="N24" s="30"/>
      <c r="O24" s="30"/>
      <c r="X24" s="30"/>
      <c r="Y24" s="30"/>
      <c r="AB24" s="30"/>
      <c r="AC24" s="30"/>
      <c r="AD24" s="30"/>
      <c r="AE24" s="30"/>
      <c r="AF24" s="30"/>
      <c r="AG24" s="30"/>
      <c r="AH24" s="30"/>
      <c r="AI24" s="30"/>
      <c r="AJ24" s="30"/>
      <c r="AQ24" s="30"/>
      <c r="AR24" s="30"/>
      <c r="AS24" s="30"/>
      <c r="AT24" s="30"/>
      <c r="AU24" s="30"/>
      <c r="AV24" s="30"/>
      <c r="AW24" s="30"/>
      <c r="AY24" s="30"/>
    </row>
    <row r="25" spans="3:51" x14ac:dyDescent="0.25">
      <c r="C25" s="6">
        <v>19</v>
      </c>
      <c r="D25" s="5">
        <f>IF(Field15_TravelStartDate="","",Field15_TravelStartDate+Table_Dates[[#This Row],[Day '#]]-1)</f>
        <v>43574</v>
      </c>
      <c r="E25" s="5">
        <f>IF(AND(Field15_TravelStartDate&lt;=Table_Dates[[#This Row],[Travel End Date Available]],Field16_TravelEndDate&gt;=Table_Dates[[#This Row],[Travel End Date Available]]),Table_Dates[[#This Row],[Travel End Date Available]],"XXXX")</f>
        <v>43574</v>
      </c>
      <c r="F25" s="30"/>
      <c r="G25" s="30"/>
      <c r="H25" s="30"/>
      <c r="I25" s="30"/>
      <c r="J25" s="30"/>
      <c r="K25" s="30"/>
      <c r="L25" s="30"/>
      <c r="M25" s="30"/>
      <c r="N25" s="30"/>
      <c r="O25" s="30"/>
      <c r="X25" s="30"/>
      <c r="Y25" s="30"/>
      <c r="AB25" s="30"/>
      <c r="AC25" s="30"/>
      <c r="AD25" s="30"/>
      <c r="AE25" s="30"/>
      <c r="AF25" s="30"/>
      <c r="AG25" s="30"/>
      <c r="AH25" s="30"/>
      <c r="AI25" s="30"/>
      <c r="AJ25" s="30"/>
      <c r="AQ25" s="30"/>
      <c r="AR25" s="30"/>
      <c r="AS25" s="30"/>
      <c r="AT25" s="30"/>
      <c r="AU25" s="30"/>
      <c r="AV25" s="30"/>
      <c r="AW25" s="30"/>
      <c r="AY25" s="30"/>
    </row>
    <row r="26" spans="3:51" x14ac:dyDescent="0.25">
      <c r="C26" s="6">
        <v>20</v>
      </c>
      <c r="D26" s="5">
        <f>IF(Field15_TravelStartDate="","",Field15_TravelStartDate+Table_Dates[[#This Row],[Day '#]]-1)</f>
        <v>43575</v>
      </c>
      <c r="E26" s="5">
        <f>IF(AND(Field15_TravelStartDate&lt;=Table_Dates[[#This Row],[Travel End Date Available]],Field16_TravelEndDate&gt;=Table_Dates[[#This Row],[Travel End Date Available]]),Table_Dates[[#This Row],[Travel End Date Available]],"XXXX")</f>
        <v>43575</v>
      </c>
      <c r="F26" s="30"/>
      <c r="G26" s="30"/>
      <c r="H26" s="30"/>
      <c r="I26" s="30"/>
      <c r="J26" s="30"/>
      <c r="K26" s="30"/>
      <c r="L26" s="30"/>
      <c r="M26" s="30"/>
      <c r="N26" s="30"/>
      <c r="O26" s="30"/>
      <c r="X26" s="30"/>
      <c r="Y26" s="30"/>
      <c r="AB26" s="30"/>
      <c r="AC26" s="30"/>
      <c r="AD26" s="30"/>
      <c r="AE26" s="30"/>
      <c r="AF26" s="30"/>
      <c r="AG26" s="30"/>
      <c r="AH26" s="30"/>
      <c r="AI26" s="30"/>
      <c r="AJ26" s="30"/>
      <c r="AQ26" s="30"/>
      <c r="AR26" s="30"/>
      <c r="AS26" s="30"/>
      <c r="AT26" s="30"/>
      <c r="AU26" s="30"/>
      <c r="AV26" s="30"/>
      <c r="AW26" s="30"/>
      <c r="AY26" s="30"/>
    </row>
    <row r="27" spans="3:51" x14ac:dyDescent="0.25">
      <c r="C27" s="6">
        <v>21</v>
      </c>
      <c r="D27" s="5">
        <f>IF(Field15_TravelStartDate="","",Field15_TravelStartDate+Table_Dates[[#This Row],[Day '#]]-1)</f>
        <v>43576</v>
      </c>
      <c r="E27" s="5">
        <f>IF(AND(Field15_TravelStartDate&lt;=Table_Dates[[#This Row],[Travel End Date Available]],Field16_TravelEndDate&gt;=Table_Dates[[#This Row],[Travel End Date Available]]),Table_Dates[[#This Row],[Travel End Date Available]],"XXXX")</f>
        <v>43576</v>
      </c>
      <c r="F27" s="30"/>
      <c r="G27" s="30"/>
      <c r="H27" s="30"/>
      <c r="I27" s="30"/>
      <c r="J27" s="30"/>
      <c r="K27" s="30"/>
      <c r="L27" s="30"/>
      <c r="M27" s="30"/>
      <c r="N27" s="30"/>
      <c r="O27" s="30"/>
      <c r="X27" s="30"/>
      <c r="Y27" s="30"/>
      <c r="AB27" s="30"/>
      <c r="AC27" s="30"/>
      <c r="AD27" s="30"/>
      <c r="AE27" s="30"/>
      <c r="AF27" s="30"/>
      <c r="AG27" s="30"/>
      <c r="AH27" s="30"/>
      <c r="AI27" s="30"/>
      <c r="AJ27" s="30"/>
      <c r="AQ27" s="30"/>
      <c r="AR27" s="30"/>
      <c r="AS27" s="30"/>
      <c r="AT27" s="30"/>
      <c r="AU27" s="30"/>
      <c r="AV27" s="30"/>
      <c r="AW27" s="30"/>
      <c r="AY27" s="30"/>
    </row>
    <row r="28" spans="3:51" x14ac:dyDescent="0.25">
      <c r="C28" s="6">
        <v>22</v>
      </c>
      <c r="D28" s="5">
        <f>IF(Field15_TravelStartDate="","",Field15_TravelStartDate+Table_Dates[[#This Row],[Day '#]]-1)</f>
        <v>43577</v>
      </c>
      <c r="E28" s="5">
        <f>IF(AND(Field15_TravelStartDate&lt;=Table_Dates[[#This Row],[Travel End Date Available]],Field16_TravelEndDate&gt;=Table_Dates[[#This Row],[Travel End Date Available]]),Table_Dates[[#This Row],[Travel End Date Available]],"XXXX")</f>
        <v>43577</v>
      </c>
      <c r="F28" s="30"/>
      <c r="G28" s="30"/>
      <c r="H28" s="30"/>
      <c r="I28" s="30"/>
      <c r="J28" s="30"/>
      <c r="K28" s="30"/>
      <c r="L28" s="30"/>
      <c r="M28" s="30"/>
      <c r="N28" s="30"/>
      <c r="O28" s="30"/>
      <c r="X28" s="30"/>
      <c r="Y28" s="30"/>
      <c r="AB28" s="30"/>
      <c r="AC28" s="30"/>
      <c r="AD28" s="30"/>
      <c r="AE28" s="30"/>
      <c r="AF28" s="30"/>
      <c r="AG28" s="30"/>
      <c r="AH28" s="30"/>
      <c r="AI28" s="30"/>
      <c r="AJ28" s="30"/>
      <c r="AQ28" s="30"/>
      <c r="AR28" s="30"/>
      <c r="AS28" s="30"/>
      <c r="AT28" s="30"/>
      <c r="AU28" s="30"/>
      <c r="AV28" s="30"/>
      <c r="AW28" s="30"/>
      <c r="AY28" s="30"/>
    </row>
    <row r="29" spans="3:51" x14ac:dyDescent="0.25">
      <c r="C29" s="6">
        <v>23</v>
      </c>
      <c r="D29" s="5">
        <f>IF(Field15_TravelStartDate="","",Field15_TravelStartDate+Table_Dates[[#This Row],[Day '#]]-1)</f>
        <v>43578</v>
      </c>
      <c r="E29" s="5">
        <f>IF(AND(Field15_TravelStartDate&lt;=Table_Dates[[#This Row],[Travel End Date Available]],Field16_TravelEndDate&gt;=Table_Dates[[#This Row],[Travel End Date Available]]),Table_Dates[[#This Row],[Travel End Date Available]],"XXXX")</f>
        <v>43578</v>
      </c>
      <c r="F29" s="30"/>
      <c r="G29" s="30"/>
      <c r="H29" s="30"/>
      <c r="I29" s="30"/>
      <c r="J29" s="30"/>
      <c r="K29" s="30"/>
      <c r="L29" s="30"/>
      <c r="M29" s="30"/>
      <c r="N29" s="30"/>
      <c r="O29" s="30"/>
      <c r="X29" s="30"/>
      <c r="Y29" s="30"/>
      <c r="AB29" s="30"/>
      <c r="AC29" s="30"/>
      <c r="AD29" s="30"/>
      <c r="AE29" s="30"/>
      <c r="AF29" s="30"/>
      <c r="AG29" s="30"/>
      <c r="AH29" s="30"/>
      <c r="AI29" s="30"/>
      <c r="AJ29" s="30"/>
      <c r="AQ29" s="30"/>
      <c r="AR29" s="30"/>
      <c r="AS29" s="30"/>
      <c r="AT29" s="30"/>
      <c r="AU29" s="30"/>
      <c r="AV29" s="30"/>
      <c r="AW29" s="30"/>
      <c r="AY29" s="30"/>
    </row>
    <row r="30" spans="3:51" x14ac:dyDescent="0.25">
      <c r="C30" s="6">
        <v>24</v>
      </c>
      <c r="D30" s="5">
        <f>IF(Field15_TravelStartDate="","",Field15_TravelStartDate+Table_Dates[[#This Row],[Day '#]]-1)</f>
        <v>43579</v>
      </c>
      <c r="E30" s="5">
        <f>IF(AND(Field15_TravelStartDate&lt;=Table_Dates[[#This Row],[Travel End Date Available]],Field16_TravelEndDate&gt;=Table_Dates[[#This Row],[Travel End Date Available]]),Table_Dates[[#This Row],[Travel End Date Available]],"XXXX")</f>
        <v>43579</v>
      </c>
      <c r="F30" s="30"/>
      <c r="G30" s="30"/>
      <c r="H30" s="30"/>
      <c r="I30" s="30"/>
      <c r="J30" s="30"/>
      <c r="K30" s="30"/>
      <c r="L30" s="30"/>
      <c r="M30" s="30"/>
      <c r="N30" s="30"/>
      <c r="O30" s="30"/>
      <c r="X30" s="30"/>
      <c r="Y30" s="30"/>
      <c r="AB30" s="30"/>
      <c r="AC30" s="30"/>
      <c r="AD30" s="30"/>
      <c r="AE30" s="30"/>
      <c r="AF30" s="30"/>
      <c r="AG30" s="30"/>
      <c r="AH30" s="30"/>
      <c r="AI30" s="30"/>
      <c r="AJ30" s="30"/>
      <c r="AQ30" s="30"/>
      <c r="AR30" s="30"/>
      <c r="AS30" s="30"/>
      <c r="AT30" s="30"/>
      <c r="AU30" s="30"/>
      <c r="AV30" s="30"/>
      <c r="AW30" s="30"/>
      <c r="AY30" s="30"/>
    </row>
    <row r="31" spans="3:51" x14ac:dyDescent="0.25">
      <c r="C31" s="6">
        <v>25</v>
      </c>
      <c r="D31" s="5">
        <f>IF(Field15_TravelStartDate="","",Field15_TravelStartDate+Table_Dates[[#This Row],[Day '#]]-1)</f>
        <v>43580</v>
      </c>
      <c r="E31" s="5">
        <f>IF(AND(Field15_TravelStartDate&lt;=Table_Dates[[#This Row],[Travel End Date Available]],Field16_TravelEndDate&gt;=Table_Dates[[#This Row],[Travel End Date Available]]),Table_Dates[[#This Row],[Travel End Date Available]],"XXXX")</f>
        <v>43580</v>
      </c>
      <c r="F31" s="30"/>
      <c r="G31" s="30"/>
      <c r="H31" s="30"/>
      <c r="I31" s="30"/>
      <c r="J31" s="30"/>
      <c r="K31" s="30"/>
      <c r="L31" s="30"/>
      <c r="M31" s="30"/>
      <c r="N31" s="30"/>
      <c r="O31" s="30"/>
      <c r="X31" s="30"/>
      <c r="Y31" s="30"/>
      <c r="AB31" s="30"/>
      <c r="AC31" s="30"/>
      <c r="AD31" s="30"/>
      <c r="AE31" s="30"/>
      <c r="AF31" s="30"/>
      <c r="AG31" s="30"/>
      <c r="AH31" s="30"/>
      <c r="AI31" s="30"/>
      <c r="AJ31" s="30"/>
      <c r="AQ31" s="30"/>
      <c r="AR31" s="30"/>
      <c r="AS31" s="30"/>
      <c r="AT31" s="30"/>
      <c r="AU31" s="30"/>
      <c r="AV31" s="30"/>
      <c r="AW31" s="30"/>
      <c r="AY31" s="30"/>
    </row>
    <row r="32" spans="3:51" x14ac:dyDescent="0.25">
      <c r="C32" s="6">
        <v>26</v>
      </c>
      <c r="D32" s="5">
        <f>IF(Field15_TravelStartDate="","",Field15_TravelStartDate+Table_Dates[[#This Row],[Day '#]]-1)</f>
        <v>43581</v>
      </c>
      <c r="E32" s="5">
        <f>IF(AND(Field15_TravelStartDate&lt;=Table_Dates[[#This Row],[Travel End Date Available]],Field16_TravelEndDate&gt;=Table_Dates[[#This Row],[Travel End Date Available]]),Table_Dates[[#This Row],[Travel End Date Available]],"XXXX")</f>
        <v>43581</v>
      </c>
      <c r="F32" s="30"/>
      <c r="G32" s="30"/>
      <c r="H32" s="30"/>
      <c r="I32" s="30"/>
      <c r="J32" s="30"/>
      <c r="K32" s="30"/>
      <c r="L32" s="30"/>
      <c r="M32" s="30"/>
      <c r="N32" s="30"/>
      <c r="O32" s="30"/>
      <c r="X32" s="30"/>
      <c r="Y32" s="30"/>
      <c r="AB32" s="30"/>
      <c r="AC32" s="30"/>
      <c r="AD32" s="30"/>
      <c r="AE32" s="30"/>
      <c r="AF32" s="30"/>
      <c r="AG32" s="30"/>
      <c r="AH32" s="30"/>
      <c r="AI32" s="30"/>
      <c r="AJ32" s="30"/>
      <c r="AQ32" s="30"/>
      <c r="AR32" s="30"/>
      <c r="AS32" s="30"/>
      <c r="AT32" s="30"/>
      <c r="AU32" s="30"/>
      <c r="AV32" s="30"/>
      <c r="AW32" s="30"/>
      <c r="AY32" s="30"/>
    </row>
    <row r="33" spans="3:29" x14ac:dyDescent="0.25">
      <c r="C33" s="6">
        <v>27</v>
      </c>
      <c r="D33" s="5">
        <f>IF(Field15_TravelStartDate="","",Field15_TravelStartDate+Table_Dates[[#This Row],[Day '#]]-1)</f>
        <v>43582</v>
      </c>
      <c r="E33" s="5">
        <f>IF(AND(Field15_TravelStartDate&lt;=Table_Dates[[#This Row],[Travel End Date Available]],Field16_TravelEndDate&gt;=Table_Dates[[#This Row],[Travel End Date Available]]),Table_Dates[[#This Row],[Travel End Date Available]],"XXXX")</f>
        <v>43582</v>
      </c>
      <c r="F33" s="30"/>
      <c r="G33" s="30"/>
      <c r="H33" s="30"/>
      <c r="I33" s="30"/>
      <c r="J33" s="30"/>
      <c r="K33" s="30"/>
      <c r="L33" s="30"/>
      <c r="M33" s="30"/>
      <c r="N33" s="30"/>
      <c r="O33" s="30"/>
      <c r="X33" s="30"/>
      <c r="Y33" s="30"/>
      <c r="AB33" s="30"/>
      <c r="AC33" s="30"/>
    </row>
    <row r="34" spans="3:29" x14ac:dyDescent="0.25">
      <c r="C34" s="6">
        <v>28</v>
      </c>
      <c r="D34" s="5">
        <f>IF(Field15_TravelStartDate="","",Field15_TravelStartDate+Table_Dates[[#This Row],[Day '#]]-1)</f>
        <v>43583</v>
      </c>
      <c r="E34" s="5">
        <f>IF(AND(Field15_TravelStartDate&lt;=Table_Dates[[#This Row],[Travel End Date Available]],Field16_TravelEndDate&gt;=Table_Dates[[#This Row],[Travel End Date Available]]),Table_Dates[[#This Row],[Travel End Date Available]],"XXXX")</f>
        <v>43583</v>
      </c>
      <c r="F34" s="30"/>
      <c r="G34" s="30"/>
      <c r="H34" s="30"/>
      <c r="I34" s="30"/>
      <c r="J34" s="30"/>
      <c r="K34" s="30"/>
      <c r="L34" s="30"/>
      <c r="M34" s="30"/>
      <c r="N34" s="30"/>
      <c r="O34" s="30"/>
      <c r="X34" s="30"/>
      <c r="Y34" s="30"/>
      <c r="AB34" s="30"/>
      <c r="AC34" s="30"/>
    </row>
    <row r="35" spans="3:29" x14ac:dyDescent="0.25">
      <c r="C35" s="6">
        <v>29</v>
      </c>
      <c r="D35" s="5">
        <f>IF(Field15_TravelStartDate="","",Field15_TravelStartDate+Table_Dates[[#This Row],[Day '#]]-1)</f>
        <v>43584</v>
      </c>
      <c r="E35" s="5">
        <f>IF(AND(Field15_TravelStartDate&lt;=Table_Dates[[#This Row],[Travel End Date Available]],Field16_TravelEndDate&gt;=Table_Dates[[#This Row],[Travel End Date Available]]),Table_Dates[[#This Row],[Travel End Date Available]],"XXXX")</f>
        <v>43584</v>
      </c>
      <c r="F35" s="30"/>
      <c r="G35" s="30"/>
      <c r="H35" s="30"/>
      <c r="I35" s="30"/>
      <c r="J35" s="30"/>
      <c r="K35" s="30"/>
      <c r="L35" s="30"/>
      <c r="M35" s="30"/>
      <c r="N35" s="30"/>
      <c r="O35" s="30"/>
      <c r="X35" s="30"/>
      <c r="Y35" s="30"/>
      <c r="AB35" s="30"/>
      <c r="AC35" s="30"/>
    </row>
    <row r="36" spans="3:29" x14ac:dyDescent="0.25">
      <c r="C36" s="6">
        <v>30</v>
      </c>
      <c r="D36" s="5">
        <f>IF(Field15_TravelStartDate="","",Field15_TravelStartDate+Table_Dates[[#This Row],[Day '#]]-1)</f>
        <v>43585</v>
      </c>
      <c r="E36" s="5">
        <f>IF(AND(Field15_TravelStartDate&lt;=Table_Dates[[#This Row],[Travel End Date Available]],Field16_TravelEndDate&gt;=Table_Dates[[#This Row],[Travel End Date Available]]),Table_Dates[[#This Row],[Travel End Date Available]],"XXXX")</f>
        <v>43585</v>
      </c>
      <c r="F36" s="30"/>
      <c r="G36" s="30"/>
      <c r="H36" s="30"/>
      <c r="I36" s="30"/>
      <c r="J36" s="30"/>
      <c r="K36" s="30"/>
      <c r="L36" s="30"/>
      <c r="M36" s="30"/>
      <c r="N36" s="30"/>
      <c r="O36" s="30"/>
      <c r="X36" s="30"/>
      <c r="Y36" s="30"/>
      <c r="AB36" s="30"/>
      <c r="AC36" s="30"/>
    </row>
    <row r="37" spans="3:29" x14ac:dyDescent="0.25">
      <c r="C37" s="6">
        <v>31</v>
      </c>
      <c r="D37" s="5">
        <f>IF(Field15_TravelStartDate="","",Field15_TravelStartDate+Table_Dates[[#This Row],[Day '#]]-1)</f>
        <v>43586</v>
      </c>
      <c r="E37" s="5">
        <f>IF(AND(Field15_TravelStartDate&lt;=Table_Dates[[#This Row],[Travel End Date Available]],Field16_TravelEndDate&gt;=Table_Dates[[#This Row],[Travel End Date Available]]),Table_Dates[[#This Row],[Travel End Date Available]],"XXXX")</f>
        <v>43586</v>
      </c>
      <c r="F37" s="30"/>
      <c r="G37" s="30"/>
      <c r="H37" s="30"/>
      <c r="I37" s="30"/>
      <c r="J37" s="30"/>
      <c r="K37" s="30"/>
      <c r="L37" s="30"/>
      <c r="M37" s="30"/>
      <c r="N37" s="30"/>
      <c r="O37" s="30"/>
      <c r="X37" s="30"/>
      <c r="Y37" s="30"/>
      <c r="AB37" s="30"/>
      <c r="AC37" s="30"/>
    </row>
    <row r="38" spans="3:29" x14ac:dyDescent="0.25">
      <c r="C38" s="6">
        <v>32</v>
      </c>
      <c r="D38" s="5">
        <f>IF(Field15_TravelStartDate="","",Field15_TravelStartDate+Table_Dates[[#This Row],[Day '#]]-1)</f>
        <v>43587</v>
      </c>
      <c r="E38" s="5">
        <f>IF(AND(Field15_TravelStartDate&lt;=Table_Dates[[#This Row],[Travel End Date Available]],Field16_TravelEndDate&gt;=Table_Dates[[#This Row],[Travel End Date Available]]),Table_Dates[[#This Row],[Travel End Date Available]],"XXXX")</f>
        <v>43587</v>
      </c>
      <c r="F38" s="30"/>
      <c r="G38" s="30"/>
      <c r="H38" s="30"/>
      <c r="I38" s="30"/>
      <c r="J38" s="30"/>
      <c r="K38" s="30"/>
      <c r="L38" s="30"/>
      <c r="M38" s="30"/>
      <c r="N38" s="30"/>
      <c r="O38" s="30"/>
      <c r="X38" s="30"/>
      <c r="Y38" s="30"/>
      <c r="AB38" s="30"/>
      <c r="AC38" s="30"/>
    </row>
    <row r="39" spans="3:29" x14ac:dyDescent="0.25">
      <c r="C39" s="6">
        <v>33</v>
      </c>
      <c r="D39" s="5">
        <f>IF(Field15_TravelStartDate="","",Field15_TravelStartDate+Table_Dates[[#This Row],[Day '#]]-1)</f>
        <v>43588</v>
      </c>
      <c r="E39" s="5">
        <f>IF(AND(Field15_TravelStartDate&lt;=Table_Dates[[#This Row],[Travel End Date Available]],Field16_TravelEndDate&gt;=Table_Dates[[#This Row],[Travel End Date Available]]),Table_Dates[[#This Row],[Travel End Date Available]],"XXXX")</f>
        <v>43588</v>
      </c>
      <c r="F39" s="30"/>
      <c r="G39" s="30"/>
      <c r="H39" s="30"/>
      <c r="I39" s="30"/>
      <c r="J39" s="30"/>
      <c r="K39" s="30"/>
      <c r="L39" s="30"/>
      <c r="M39" s="30"/>
      <c r="N39" s="30"/>
      <c r="O39" s="30"/>
      <c r="X39" s="30"/>
      <c r="Y39" s="30"/>
      <c r="AB39" s="30"/>
      <c r="AC39" s="30"/>
    </row>
    <row r="40" spans="3:29" x14ac:dyDescent="0.25">
      <c r="C40" s="6">
        <v>34</v>
      </c>
      <c r="D40" s="5">
        <f>IF(Field15_TravelStartDate="","",Field15_TravelStartDate+Table_Dates[[#This Row],[Day '#]]-1)</f>
        <v>43589</v>
      </c>
      <c r="E40" s="5">
        <f>IF(AND(Field15_TravelStartDate&lt;=Table_Dates[[#This Row],[Travel End Date Available]],Field16_TravelEndDate&gt;=Table_Dates[[#This Row],[Travel End Date Available]]),Table_Dates[[#This Row],[Travel End Date Available]],"XXXX")</f>
        <v>43589</v>
      </c>
      <c r="F40" s="30"/>
      <c r="G40" s="30"/>
      <c r="H40" s="30"/>
      <c r="I40" s="30"/>
      <c r="J40" s="30"/>
      <c r="K40" s="30"/>
      <c r="L40" s="30"/>
      <c r="M40" s="30"/>
      <c r="N40" s="30"/>
      <c r="O40" s="30"/>
      <c r="X40" s="30"/>
      <c r="Y40" s="30"/>
      <c r="AB40" s="30"/>
      <c r="AC40" s="30"/>
    </row>
    <row r="41" spans="3:29" x14ac:dyDescent="0.25">
      <c r="C41" s="6">
        <v>35</v>
      </c>
      <c r="D41" s="5">
        <f>IF(Field15_TravelStartDate="","",Field15_TravelStartDate+Table_Dates[[#This Row],[Day '#]]-1)</f>
        <v>43590</v>
      </c>
      <c r="E41" s="5">
        <f>IF(AND(Field15_TravelStartDate&lt;=Table_Dates[[#This Row],[Travel End Date Available]],Field16_TravelEndDate&gt;=Table_Dates[[#This Row],[Travel End Date Available]]),Table_Dates[[#This Row],[Travel End Date Available]],"XXXX")</f>
        <v>43590</v>
      </c>
      <c r="F41" s="30"/>
      <c r="G41" s="30"/>
      <c r="H41" s="30"/>
      <c r="I41" s="30"/>
      <c r="J41" s="30"/>
      <c r="K41" s="30"/>
      <c r="L41" s="30"/>
      <c r="M41" s="30"/>
      <c r="N41" s="30"/>
      <c r="O41" s="30"/>
      <c r="X41" s="30"/>
      <c r="Y41" s="30"/>
      <c r="AB41" s="30"/>
      <c r="AC41" s="30"/>
    </row>
    <row r="42" spans="3:29" x14ac:dyDescent="0.25">
      <c r="C42" s="6">
        <v>36</v>
      </c>
      <c r="D42" s="5">
        <f>IF(Field15_TravelStartDate="","",Field15_TravelStartDate+Table_Dates[[#This Row],[Day '#]]-1)</f>
        <v>43591</v>
      </c>
      <c r="E42" s="5">
        <f>IF(AND(Field15_TravelStartDate&lt;=Table_Dates[[#This Row],[Travel End Date Available]],Field16_TravelEndDate&gt;=Table_Dates[[#This Row],[Travel End Date Available]]),Table_Dates[[#This Row],[Travel End Date Available]],"XXXX")</f>
        <v>43591</v>
      </c>
      <c r="F42" s="30"/>
      <c r="G42" s="30"/>
      <c r="H42" s="30"/>
      <c r="I42" s="30"/>
      <c r="J42" s="30"/>
      <c r="K42" s="30"/>
      <c r="L42" s="30"/>
      <c r="M42" s="30"/>
      <c r="N42" s="30"/>
      <c r="O42" s="30"/>
      <c r="X42" s="30"/>
      <c r="Y42" s="30"/>
      <c r="AB42" s="30"/>
      <c r="AC42" s="30"/>
    </row>
    <row r="43" spans="3:29" x14ac:dyDescent="0.25">
      <c r="C43" s="6">
        <v>37</v>
      </c>
      <c r="D43" s="5">
        <f>IF(Field15_TravelStartDate="","",Field15_TravelStartDate+Table_Dates[[#This Row],[Day '#]]-1)</f>
        <v>43592</v>
      </c>
      <c r="E43" s="5">
        <f>IF(AND(Field15_TravelStartDate&lt;=Table_Dates[[#This Row],[Travel End Date Available]],Field16_TravelEndDate&gt;=Table_Dates[[#This Row],[Travel End Date Available]]),Table_Dates[[#This Row],[Travel End Date Available]],"XXXX")</f>
        <v>43592</v>
      </c>
      <c r="F43" s="30"/>
      <c r="G43" s="30"/>
      <c r="H43" s="30"/>
      <c r="I43" s="30"/>
      <c r="J43" s="30"/>
      <c r="K43" s="30"/>
      <c r="L43" s="30"/>
      <c r="M43" s="30"/>
      <c r="N43" s="30"/>
      <c r="O43" s="30"/>
      <c r="X43" s="30"/>
      <c r="Y43" s="30"/>
      <c r="AB43" s="30"/>
      <c r="AC43" s="30"/>
    </row>
    <row r="44" spans="3:29" x14ac:dyDescent="0.25">
      <c r="C44" s="6">
        <v>38</v>
      </c>
      <c r="D44" s="5">
        <f>IF(Field15_TravelStartDate="","",Field15_TravelStartDate+Table_Dates[[#This Row],[Day '#]]-1)</f>
        <v>43593</v>
      </c>
      <c r="E44" s="5">
        <f>IF(AND(Field15_TravelStartDate&lt;=Table_Dates[[#This Row],[Travel End Date Available]],Field16_TravelEndDate&gt;=Table_Dates[[#This Row],[Travel End Date Available]]),Table_Dates[[#This Row],[Travel End Date Available]],"XXXX")</f>
        <v>43593</v>
      </c>
      <c r="F44" s="30"/>
      <c r="G44" s="30"/>
      <c r="H44" s="30"/>
      <c r="I44" s="30"/>
      <c r="J44" s="30"/>
      <c r="K44" s="30"/>
      <c r="L44" s="30"/>
      <c r="M44" s="30"/>
      <c r="N44" s="30"/>
      <c r="O44" s="30"/>
      <c r="X44" s="30"/>
      <c r="Y44" s="30"/>
      <c r="AB44" s="30"/>
      <c r="AC44" s="30"/>
    </row>
    <row r="45" spans="3:29" x14ac:dyDescent="0.25">
      <c r="C45" s="6">
        <v>39</v>
      </c>
      <c r="D45" s="5">
        <f>IF(Field15_TravelStartDate="","",Field15_TravelStartDate+Table_Dates[[#This Row],[Day '#]]-1)</f>
        <v>43594</v>
      </c>
      <c r="E45" s="5">
        <f>IF(AND(Field15_TravelStartDate&lt;=Table_Dates[[#This Row],[Travel End Date Available]],Field16_TravelEndDate&gt;=Table_Dates[[#This Row],[Travel End Date Available]]),Table_Dates[[#This Row],[Travel End Date Available]],"XXXX")</f>
        <v>43594</v>
      </c>
      <c r="F45" s="30"/>
      <c r="G45" s="30"/>
      <c r="H45" s="30"/>
      <c r="I45" s="30"/>
      <c r="J45" s="30"/>
      <c r="K45" s="30"/>
      <c r="L45" s="30"/>
      <c r="M45" s="30"/>
      <c r="N45" s="30"/>
      <c r="O45" s="30"/>
      <c r="X45" s="30"/>
      <c r="Y45" s="30"/>
      <c r="AB45" s="30"/>
      <c r="AC45" s="30"/>
    </row>
    <row r="46" spans="3:29" x14ac:dyDescent="0.25">
      <c r="C46" s="6">
        <v>40</v>
      </c>
      <c r="D46" s="5">
        <f>IF(Field15_TravelStartDate="","",Field15_TravelStartDate+Table_Dates[[#This Row],[Day '#]]-1)</f>
        <v>43595</v>
      </c>
      <c r="E46" s="5">
        <f>IF(AND(Field15_TravelStartDate&lt;=Table_Dates[[#This Row],[Travel End Date Available]],Field16_TravelEndDate&gt;=Table_Dates[[#This Row],[Travel End Date Available]]),Table_Dates[[#This Row],[Travel End Date Available]],"XXXX")</f>
        <v>43595</v>
      </c>
      <c r="F46" s="30"/>
      <c r="G46" s="30"/>
      <c r="H46" s="30"/>
      <c r="I46" s="30"/>
      <c r="J46" s="30"/>
      <c r="K46" s="30"/>
      <c r="L46" s="30"/>
      <c r="M46" s="30"/>
      <c r="N46" s="30"/>
      <c r="O46" s="30"/>
      <c r="X46" s="30"/>
      <c r="Y46" s="30"/>
      <c r="AB46" s="30"/>
      <c r="AC46" s="30"/>
    </row>
    <row r="47" spans="3:29" x14ac:dyDescent="0.25">
      <c r="C47" s="6">
        <v>41</v>
      </c>
      <c r="D47" s="5">
        <f>IF(Field15_TravelStartDate="","",Field15_TravelStartDate+Table_Dates[[#This Row],[Day '#]]-1)</f>
        <v>43596</v>
      </c>
      <c r="E47" s="5">
        <f>IF(AND(Field15_TravelStartDate&lt;=Table_Dates[[#This Row],[Travel End Date Available]],Field16_TravelEndDate&gt;=Table_Dates[[#This Row],[Travel End Date Available]]),Table_Dates[[#This Row],[Travel End Date Available]],"XXXX")</f>
        <v>43596</v>
      </c>
      <c r="F47" s="30"/>
      <c r="G47" s="30"/>
      <c r="H47" s="30"/>
      <c r="I47" s="30"/>
      <c r="J47" s="30"/>
      <c r="K47" s="30"/>
      <c r="L47" s="30"/>
      <c r="M47" s="30"/>
      <c r="N47" s="30"/>
      <c r="O47" s="30"/>
      <c r="X47" s="30"/>
      <c r="Y47" s="30"/>
      <c r="AB47" s="30"/>
      <c r="AC47" s="30"/>
    </row>
    <row r="48" spans="3:29" x14ac:dyDescent="0.25">
      <c r="C48" s="6">
        <v>42</v>
      </c>
      <c r="D48" s="5">
        <f>IF(Field15_TravelStartDate="","",Field15_TravelStartDate+Table_Dates[[#This Row],[Day '#]]-1)</f>
        <v>43597</v>
      </c>
      <c r="E48" s="5">
        <f>IF(AND(Field15_TravelStartDate&lt;=Table_Dates[[#This Row],[Travel End Date Available]],Field16_TravelEndDate&gt;=Table_Dates[[#This Row],[Travel End Date Available]]),Table_Dates[[#This Row],[Travel End Date Available]],"XXXX")</f>
        <v>43597</v>
      </c>
      <c r="F48" s="30"/>
      <c r="G48" s="30"/>
      <c r="H48" s="30"/>
      <c r="I48" s="30"/>
      <c r="J48" s="30"/>
      <c r="K48" s="30"/>
      <c r="L48" s="30"/>
      <c r="M48" s="30"/>
      <c r="N48" s="30"/>
      <c r="O48" s="30"/>
      <c r="X48" s="30"/>
      <c r="Y48" s="30"/>
      <c r="AB48" s="30"/>
      <c r="AC48" s="30"/>
    </row>
    <row r="49" spans="3:5" x14ac:dyDescent="0.25">
      <c r="C49" s="6">
        <v>43</v>
      </c>
      <c r="D49" s="5">
        <f>IF(Field15_TravelStartDate="","",Field15_TravelStartDate+Table_Dates[[#This Row],[Day '#]]-1)</f>
        <v>43598</v>
      </c>
      <c r="E49" s="5">
        <f>IF(AND(Field15_TravelStartDate&lt;=Table_Dates[[#This Row],[Travel End Date Available]],Field16_TravelEndDate&gt;=Table_Dates[[#This Row],[Travel End Date Available]]),Table_Dates[[#This Row],[Travel End Date Available]],"XXXX")</f>
        <v>43598</v>
      </c>
    </row>
    <row r="50" spans="3:5" x14ac:dyDescent="0.25">
      <c r="C50" s="6">
        <v>44</v>
      </c>
      <c r="D50" s="5">
        <f>IF(Field15_TravelStartDate="","",Field15_TravelStartDate+Table_Dates[[#This Row],[Day '#]]-1)</f>
        <v>43599</v>
      </c>
      <c r="E50" s="5">
        <f>IF(AND(Field15_TravelStartDate&lt;=Table_Dates[[#This Row],[Travel End Date Available]],Field16_TravelEndDate&gt;=Table_Dates[[#This Row],[Travel End Date Available]]),Table_Dates[[#This Row],[Travel End Date Available]],"XXXX")</f>
        <v>43599</v>
      </c>
    </row>
    <row r="51" spans="3:5" x14ac:dyDescent="0.25">
      <c r="C51" s="6">
        <v>45</v>
      </c>
      <c r="D51" s="5">
        <f>IF(Field15_TravelStartDate="","",Field15_TravelStartDate+Table_Dates[[#This Row],[Day '#]]-1)</f>
        <v>43600</v>
      </c>
      <c r="E51" s="5">
        <f>IF(AND(Field15_TravelStartDate&lt;=Table_Dates[[#This Row],[Travel End Date Available]],Field16_TravelEndDate&gt;=Table_Dates[[#This Row],[Travel End Date Available]]),Table_Dates[[#This Row],[Travel End Date Available]],"XXXX")</f>
        <v>43600</v>
      </c>
    </row>
    <row r="52" spans="3:5" x14ac:dyDescent="0.25">
      <c r="C52" s="6">
        <v>46</v>
      </c>
      <c r="D52" s="5">
        <f>IF(Field15_TravelStartDate="","",Field15_TravelStartDate+Table_Dates[[#This Row],[Day '#]]-1)</f>
        <v>43601</v>
      </c>
      <c r="E52" s="5">
        <f>IF(AND(Field15_TravelStartDate&lt;=Table_Dates[[#This Row],[Travel End Date Available]],Field16_TravelEndDate&gt;=Table_Dates[[#This Row],[Travel End Date Available]]),Table_Dates[[#This Row],[Travel End Date Available]],"XXXX")</f>
        <v>43601</v>
      </c>
    </row>
    <row r="53" spans="3:5" x14ac:dyDescent="0.25">
      <c r="C53" s="6">
        <v>47</v>
      </c>
      <c r="D53" s="5">
        <f>IF(Field15_TravelStartDate="","",Field15_TravelStartDate+Table_Dates[[#This Row],[Day '#]]-1)</f>
        <v>43602</v>
      </c>
      <c r="E53" s="5">
        <f>IF(AND(Field15_TravelStartDate&lt;=Table_Dates[[#This Row],[Travel End Date Available]],Field16_TravelEndDate&gt;=Table_Dates[[#This Row],[Travel End Date Available]]),Table_Dates[[#This Row],[Travel End Date Available]],"XXXX")</f>
        <v>43602</v>
      </c>
    </row>
    <row r="54" spans="3:5" x14ac:dyDescent="0.25">
      <c r="C54" s="6">
        <v>48</v>
      </c>
      <c r="D54" s="5">
        <f>IF(Field15_TravelStartDate="","",Field15_TravelStartDate+Table_Dates[[#This Row],[Day '#]]-1)</f>
        <v>43603</v>
      </c>
      <c r="E54" s="5">
        <f>IF(AND(Field15_TravelStartDate&lt;=Table_Dates[[#This Row],[Travel End Date Available]],Field16_TravelEndDate&gt;=Table_Dates[[#This Row],[Travel End Date Available]]),Table_Dates[[#This Row],[Travel End Date Available]],"XXXX")</f>
        <v>43603</v>
      </c>
    </row>
    <row r="55" spans="3:5" x14ac:dyDescent="0.25">
      <c r="C55" s="6">
        <v>49</v>
      </c>
      <c r="D55" s="5">
        <f>IF(Field15_TravelStartDate="","",Field15_TravelStartDate+Table_Dates[[#This Row],[Day '#]]-1)</f>
        <v>43604</v>
      </c>
      <c r="E55" s="5">
        <f>IF(AND(Field15_TravelStartDate&lt;=Table_Dates[[#This Row],[Travel End Date Available]],Field16_TravelEndDate&gt;=Table_Dates[[#This Row],[Travel End Date Available]]),Table_Dates[[#This Row],[Travel End Date Available]],"XXXX")</f>
        <v>43604</v>
      </c>
    </row>
    <row r="56" spans="3:5" x14ac:dyDescent="0.25">
      <c r="C56" s="6">
        <v>50</v>
      </c>
      <c r="D56" s="5">
        <f>IF(Field15_TravelStartDate="","",Field15_TravelStartDate+Table_Dates[[#This Row],[Day '#]]-1)</f>
        <v>43605</v>
      </c>
      <c r="E56" s="5">
        <f>IF(AND(Field15_TravelStartDate&lt;=Table_Dates[[#This Row],[Travel End Date Available]],Field16_TravelEndDate&gt;=Table_Dates[[#This Row],[Travel End Date Available]]),Table_Dates[[#This Row],[Travel End Date Available]],"XXXX")</f>
        <v>43605</v>
      </c>
    </row>
    <row r="57" spans="3:5" x14ac:dyDescent="0.25">
      <c r="C57" s="6">
        <v>51</v>
      </c>
      <c r="D57" s="5">
        <f>IF(Field15_TravelStartDate="","",Field15_TravelStartDate+Table_Dates[[#This Row],[Day '#]]-1)</f>
        <v>43606</v>
      </c>
      <c r="E57" s="5">
        <f>IF(AND(Field15_TravelStartDate&lt;=Table_Dates[[#This Row],[Travel End Date Available]],Field16_TravelEndDate&gt;=Table_Dates[[#This Row],[Travel End Date Available]]),Table_Dates[[#This Row],[Travel End Date Available]],"XXXX")</f>
        <v>43606</v>
      </c>
    </row>
    <row r="58" spans="3:5" x14ac:dyDescent="0.25">
      <c r="C58" s="6">
        <v>52</v>
      </c>
      <c r="D58" s="5">
        <f>IF(Field15_TravelStartDate="","",Field15_TravelStartDate+Table_Dates[[#This Row],[Day '#]]-1)</f>
        <v>43607</v>
      </c>
      <c r="E58" s="5">
        <f>IF(AND(Field15_TravelStartDate&lt;=Table_Dates[[#This Row],[Travel End Date Available]],Field16_TravelEndDate&gt;=Table_Dates[[#This Row],[Travel End Date Available]]),Table_Dates[[#This Row],[Travel End Date Available]],"XXXX")</f>
        <v>43607</v>
      </c>
    </row>
    <row r="59" spans="3:5" x14ac:dyDescent="0.25">
      <c r="C59" s="6">
        <v>53</v>
      </c>
      <c r="D59" s="5">
        <f>IF(Field15_TravelStartDate="","",Field15_TravelStartDate+Table_Dates[[#This Row],[Day '#]]-1)</f>
        <v>43608</v>
      </c>
      <c r="E59" s="5">
        <f>IF(AND(Field15_TravelStartDate&lt;=Table_Dates[[#This Row],[Travel End Date Available]],Field16_TravelEndDate&gt;=Table_Dates[[#This Row],[Travel End Date Available]]),Table_Dates[[#This Row],[Travel End Date Available]],"XXXX")</f>
        <v>43608</v>
      </c>
    </row>
    <row r="60" spans="3:5" x14ac:dyDescent="0.25">
      <c r="C60" s="6">
        <v>54</v>
      </c>
      <c r="D60" s="5">
        <f>IF(Field15_TravelStartDate="","",Field15_TravelStartDate+Table_Dates[[#This Row],[Day '#]]-1)</f>
        <v>43609</v>
      </c>
      <c r="E60" s="5">
        <f>IF(AND(Field15_TravelStartDate&lt;=Table_Dates[[#This Row],[Travel End Date Available]],Field16_TravelEndDate&gt;=Table_Dates[[#This Row],[Travel End Date Available]]),Table_Dates[[#This Row],[Travel End Date Available]],"XXXX")</f>
        <v>43609</v>
      </c>
    </row>
    <row r="61" spans="3:5" x14ac:dyDescent="0.25">
      <c r="C61" s="6">
        <v>55</v>
      </c>
      <c r="D61" s="5">
        <f>IF(Field15_TravelStartDate="","",Field15_TravelStartDate+Table_Dates[[#This Row],[Day '#]]-1)</f>
        <v>43610</v>
      </c>
      <c r="E61" s="5" t="str">
        <f>IF(AND(Field15_TravelStartDate&lt;=Table_Dates[[#This Row],[Travel End Date Available]],Field16_TravelEndDate&gt;=Table_Dates[[#This Row],[Travel End Date Available]]),Table_Dates[[#This Row],[Travel End Date Available]],"XXXX")</f>
        <v>XXXX</v>
      </c>
    </row>
    <row r="62" spans="3:5" x14ac:dyDescent="0.25">
      <c r="C62" s="6">
        <v>56</v>
      </c>
      <c r="D62" s="5">
        <f>IF(Field15_TravelStartDate="","",Field15_TravelStartDate+Table_Dates[[#This Row],[Day '#]]-1)</f>
        <v>43611</v>
      </c>
      <c r="E62" s="5" t="str">
        <f>IF(AND(Field15_TravelStartDate&lt;=Table_Dates[[#This Row],[Travel End Date Available]],Field16_TravelEndDate&gt;=Table_Dates[[#This Row],[Travel End Date Available]]),Table_Dates[[#This Row],[Travel End Date Available]],"XXXX")</f>
        <v>XXXX</v>
      </c>
    </row>
    <row r="63" spans="3:5" x14ac:dyDescent="0.25">
      <c r="C63" s="6">
        <v>57</v>
      </c>
      <c r="D63" s="5">
        <f>IF(Field15_TravelStartDate="","",Field15_TravelStartDate+Table_Dates[[#This Row],[Day '#]]-1)</f>
        <v>43612</v>
      </c>
      <c r="E63" s="5" t="str">
        <f>IF(AND(Field15_TravelStartDate&lt;=Table_Dates[[#This Row],[Travel End Date Available]],Field16_TravelEndDate&gt;=Table_Dates[[#This Row],[Travel End Date Available]]),Table_Dates[[#This Row],[Travel End Date Available]],"XXXX")</f>
        <v>XXXX</v>
      </c>
    </row>
    <row r="64" spans="3:5" x14ac:dyDescent="0.25">
      <c r="C64" s="6">
        <v>58</v>
      </c>
      <c r="D64" s="5">
        <f>IF(Field15_TravelStartDate="","",Field15_TravelStartDate+Table_Dates[[#This Row],[Day '#]]-1)</f>
        <v>43613</v>
      </c>
      <c r="E64" s="5" t="str">
        <f>IF(AND(Field15_TravelStartDate&lt;=Table_Dates[[#This Row],[Travel End Date Available]],Field16_TravelEndDate&gt;=Table_Dates[[#This Row],[Travel End Date Available]]),Table_Dates[[#This Row],[Travel End Date Available]],"XXXX")</f>
        <v>XXXX</v>
      </c>
    </row>
    <row r="65" spans="3:5" x14ac:dyDescent="0.25">
      <c r="C65" s="6">
        <v>59</v>
      </c>
      <c r="D65" s="5">
        <f>IF(Field15_TravelStartDate="","",Field15_TravelStartDate+Table_Dates[[#This Row],[Day '#]]-1)</f>
        <v>43614</v>
      </c>
      <c r="E65" s="5" t="str">
        <f>IF(AND(Field15_TravelStartDate&lt;=Table_Dates[[#This Row],[Travel End Date Available]],Field16_TravelEndDate&gt;=Table_Dates[[#This Row],[Travel End Date Available]]),Table_Dates[[#This Row],[Travel End Date Available]],"XXXX")</f>
        <v>XXXX</v>
      </c>
    </row>
    <row r="66" spans="3:5" x14ac:dyDescent="0.25">
      <c r="C66" s="6">
        <v>60</v>
      </c>
      <c r="D66" s="5">
        <f>IF(Field15_TravelStartDate="","",Field15_TravelStartDate+Table_Dates[[#This Row],[Day '#]]-1)</f>
        <v>43615</v>
      </c>
      <c r="E66" s="5" t="str">
        <f>IF(AND(Field15_TravelStartDate&lt;=Table_Dates[[#This Row],[Travel End Date Available]],Field16_TravelEndDate&gt;=Table_Dates[[#This Row],[Travel End Date Available]]),Table_Dates[[#This Row],[Travel End Date Available]],"XXXX")</f>
        <v>XXXX</v>
      </c>
    </row>
    <row r="68" spans="3:5" x14ac:dyDescent="0.25">
      <c r="C68" s="352" t="s">
        <v>1162</v>
      </c>
      <c r="D68" s="353"/>
      <c r="E68" s="354"/>
    </row>
    <row r="69" spans="3:5" x14ac:dyDescent="0.25">
      <c r="C69" s="351" t="s">
        <v>1163</v>
      </c>
      <c r="D69" s="351"/>
      <c r="E69" s="351"/>
    </row>
    <row r="70" spans="3:5" x14ac:dyDescent="0.25">
      <c r="C70" s="351"/>
      <c r="D70" s="351"/>
      <c r="E70" s="351"/>
    </row>
    <row r="71" spans="3:5" x14ac:dyDescent="0.25">
      <c r="C71" s="351"/>
      <c r="D71" s="351"/>
      <c r="E71" s="351"/>
    </row>
    <row r="72" spans="3:5" x14ac:dyDescent="0.25">
      <c r="C72" s="351"/>
      <c r="D72" s="351"/>
      <c r="E72" s="351"/>
    </row>
    <row r="74" spans="3:5" x14ac:dyDescent="0.25">
      <c r="C74" s="25" t="s">
        <v>1164</v>
      </c>
      <c r="D74" s="30"/>
      <c r="E74" s="30"/>
    </row>
    <row r="75" spans="3:5" x14ac:dyDescent="0.25">
      <c r="C75" s="30" t="s">
        <v>1165</v>
      </c>
      <c r="D75" s="30"/>
      <c r="E75" s="30"/>
    </row>
    <row r="77" spans="3:5" x14ac:dyDescent="0.25">
      <c r="C77" s="47" t="s">
        <v>1166</v>
      </c>
      <c r="D77" s="47"/>
      <c r="E77" s="30"/>
    </row>
    <row r="78" spans="3:5" x14ac:dyDescent="0.25">
      <c r="C78" s="48" t="s">
        <v>1167</v>
      </c>
      <c r="D78" s="49">
        <f>IF(Field16_TravelEndDate&gt;0,Field16_TravelEndDate,IF(Field15_TravelStartDate&gt;0,Field15_TravelStartDate,0))</f>
        <v>43609</v>
      </c>
      <c r="E78" s="30" t="s">
        <v>1168</v>
      </c>
    </row>
    <row r="79" spans="3:5" x14ac:dyDescent="0.25">
      <c r="C79" s="48" t="s">
        <v>1169</v>
      </c>
      <c r="D79" s="49">
        <f>DATE(YEAR($D$78),MONTH($D$78)+3,DAY($D$78))</f>
        <v>43701</v>
      </c>
      <c r="E79" s="30" t="s">
        <v>1170</v>
      </c>
    </row>
    <row r="80" spans="3:5" x14ac:dyDescent="0.25">
      <c r="C80" s="30"/>
      <c r="D80" s="31"/>
      <c r="E80" s="30"/>
    </row>
    <row r="81" spans="4:4" x14ac:dyDescent="0.25">
      <c r="D81" s="32"/>
    </row>
  </sheetData>
  <sheetProtection algorithmName="SHA-512" hashValue="c1VNTvNwRvnylss9vA41CnaB9goomQqEzVEc8p4epj6Hy+LqtXNWi9fRzIZWeVLEULgShyaX560jQzK7oiRhxQ==" saltValue="MMf2/QO24awrG0GQ4kI1uw==" spinCount="100000" sheet="1" objects="1" scenarios="1" selectLockedCells="1" selectUnlockedCells="1"/>
  <mergeCells count="6">
    <mergeCell ref="C1:E1"/>
    <mergeCell ref="C69:E72"/>
    <mergeCell ref="C68:E68"/>
    <mergeCell ref="AY4:AZ4"/>
    <mergeCell ref="AY3:AZ3"/>
    <mergeCell ref="T1:W1"/>
  </mergeCells>
  <dataValidations disablePrompts="1" count="2">
    <dataValidation type="list" allowBlank="1" showInputMessage="1" showErrorMessage="1" sqref="AE16" xr:uid="{00000000-0002-0000-0400-000000000000}">
      <formula1>Dropdown_Range</formula1>
    </dataValidation>
    <dataValidation type="date" allowBlank="1" showInputMessage="1" showErrorMessage="1" sqref="D81" xr:uid="{00000000-0002-0000-0400-000001000000}">
      <formula1>$D$78</formula1>
      <formula2>$D$79</formula2>
    </dataValidation>
  </dataValidations>
  <pageMargins left="0.7" right="0.7" top="0.75" bottom="0.75" header="0.3" footer="0.3"/>
  <pageSetup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D74"/>
  <sheetViews>
    <sheetView workbookViewId="0"/>
  </sheetViews>
  <sheetFormatPr defaultRowHeight="15" x14ac:dyDescent="0.25"/>
  <cols>
    <col min="2" max="2" width="28.42578125" bestFit="1" customWidth="1"/>
    <col min="4" max="4" width="28.42578125" bestFit="1" customWidth="1"/>
  </cols>
  <sheetData>
    <row r="1" spans="2:4" ht="21" x14ac:dyDescent="0.35">
      <c r="B1" s="14" t="s">
        <v>1171</v>
      </c>
      <c r="C1" s="30"/>
      <c r="D1" s="14" t="s">
        <v>1172</v>
      </c>
    </row>
    <row r="2" spans="2:4" x14ac:dyDescent="0.25">
      <c r="B2" s="30"/>
      <c r="C2" s="30"/>
      <c r="D2" s="30"/>
    </row>
    <row r="3" spans="2:4" x14ac:dyDescent="0.25">
      <c r="B3" s="30" t="s">
        <v>772</v>
      </c>
      <c r="C3" s="30"/>
      <c r="D3" s="30" t="s">
        <v>770</v>
      </c>
    </row>
    <row r="4" spans="2:4" x14ac:dyDescent="0.25">
      <c r="B4" s="30"/>
      <c r="C4" s="30"/>
      <c r="D4" s="30"/>
    </row>
    <row r="5" spans="2:4" x14ac:dyDescent="0.25">
      <c r="B5" s="30"/>
      <c r="C5" s="30"/>
      <c r="D5" s="30"/>
    </row>
    <row r="6" spans="2:4" x14ac:dyDescent="0.25">
      <c r="B6" s="6" t="s">
        <v>91</v>
      </c>
      <c r="C6" s="30"/>
      <c r="D6" s="6" t="s">
        <v>91</v>
      </c>
    </row>
    <row r="7" spans="2:4" x14ac:dyDescent="0.25">
      <c r="B7" s="6" t="str">
        <f>Dropdown_NotSelectedValue</f>
        <v>Select</v>
      </c>
      <c r="C7" s="30"/>
      <c r="D7" s="6" t="str">
        <f>Dropdown_NotSelectedValue</f>
        <v>Select</v>
      </c>
    </row>
    <row r="8" spans="2:4" x14ac:dyDescent="0.25">
      <c r="B8" s="6" t="str">
        <f>INDEX(Table_KMMatrix[Community],ROW()-7,1)</f>
        <v xml:space="preserve">Atikokan </v>
      </c>
      <c r="C8" s="30"/>
      <c r="D8" s="6" t="str">
        <f ca="1">INDEX(OFFSET(Table_KMMatrix[#Headers],0,1,1,COUNTA(Table_KMMatrix[#Headers])-1),1,ROW()-7)</f>
        <v>Hamilton</v>
      </c>
    </row>
    <row r="9" spans="2:4" x14ac:dyDescent="0.25">
      <c r="B9" s="6" t="str">
        <f>INDEX(Table_KMMatrix[Community],ROW()-7,1)</f>
        <v xml:space="preserve">Batchewana F.N. </v>
      </c>
      <c r="C9" s="30"/>
      <c r="D9" s="6" t="str">
        <f ca="1">INDEX(OFFSET(Table_KMMatrix[#Headers],0,1,1,COUNTA(Table_KMMatrix[#Headers])-1),1,ROW()-7)</f>
        <v>Kingston</v>
      </c>
    </row>
    <row r="10" spans="2:4" x14ac:dyDescent="0.25">
      <c r="B10" s="6" t="str">
        <f>INDEX(Table_KMMatrix[Community],ROW()-7,1)</f>
        <v xml:space="preserve">Blind River </v>
      </c>
      <c r="C10" s="30"/>
      <c r="D10" s="6" t="str">
        <f ca="1">INDEX(OFFSET(Table_KMMatrix[#Headers],0,1,1,COUNTA(Table_KMMatrix[#Headers])-1),1,ROW()-7)</f>
        <v>London</v>
      </c>
    </row>
    <row r="11" spans="2:4" x14ac:dyDescent="0.25">
      <c r="B11" s="6" t="str">
        <f>INDEX(Table_KMMatrix[Community],ROW()-7,1)</f>
        <v xml:space="preserve">Bracebridge </v>
      </c>
      <c r="C11" s="30"/>
      <c r="D11" s="6" t="str">
        <f ca="1">INDEX(OFFSET(Table_KMMatrix[#Headers],0,1,1,COUNTA(Table_KMMatrix[#Headers])-1),1,ROW()-7)</f>
        <v>Ottawa</v>
      </c>
    </row>
    <row r="12" spans="2:4" x14ac:dyDescent="0.25">
      <c r="B12" s="6" t="str">
        <f>INDEX(Table_KMMatrix[Community],ROW()-7,1)</f>
        <v xml:space="preserve">Burk's Falls </v>
      </c>
      <c r="C12" s="30"/>
      <c r="D12" s="6" t="str">
        <f ca="1">INDEX(OFFSET(Table_KMMatrix[#Headers],0,1,1,COUNTA(Table_KMMatrix[#Headers])-1),1,ROW()-7)</f>
        <v xml:space="preserve">Sudbury </v>
      </c>
    </row>
    <row r="13" spans="2:4" x14ac:dyDescent="0.25">
      <c r="B13" s="6" t="str">
        <f>INDEX(Table_KMMatrix[Community],ROW()-7,1)</f>
        <v xml:space="preserve">Callander </v>
      </c>
      <c r="C13" s="30"/>
      <c r="D13" s="6" t="str">
        <f ca="1">INDEX(OFFSET(Table_KMMatrix[#Headers],0,1,1,COUNTA(Table_KMMatrix[#Headers])-1),1,ROW()-7)</f>
        <v>Thunder Bay</v>
      </c>
    </row>
    <row r="14" spans="2:4" x14ac:dyDescent="0.25">
      <c r="B14" s="6" t="str">
        <f>INDEX(Table_KMMatrix[Community],ROW()-7,1)</f>
        <v xml:space="preserve">Cochrane </v>
      </c>
      <c r="C14" s="30"/>
      <c r="D14" s="6" t="str">
        <f ca="1">INDEX(OFFSET(Table_KMMatrix[#Headers],0,1,1,COUNTA(Table_KMMatrix[#Headers])-1),1,ROW()-7)</f>
        <v>Toronto</v>
      </c>
    </row>
    <row r="15" spans="2:4" x14ac:dyDescent="0.25">
      <c r="B15" s="6" t="str">
        <f>INDEX(Table_KMMatrix[Community],ROW()-7,1)</f>
        <v xml:space="preserve">Constance Lake F.N. </v>
      </c>
      <c r="C15" s="30"/>
      <c r="D15" s="6"/>
    </row>
    <row r="16" spans="2:4" x14ac:dyDescent="0.25">
      <c r="B16" s="6" t="str">
        <f>INDEX(Table_KMMatrix[Community],ROW()-7,1)</f>
        <v xml:space="preserve">Dryden </v>
      </c>
      <c r="C16" s="30"/>
      <c r="D16" s="30"/>
    </row>
    <row r="17" spans="2:2" x14ac:dyDescent="0.25">
      <c r="B17" s="6" t="str">
        <f>INDEX(Table_KMMatrix[Community],ROW()-7,1)</f>
        <v xml:space="preserve">Elliot Lake </v>
      </c>
    </row>
    <row r="18" spans="2:2" x14ac:dyDescent="0.25">
      <c r="B18" s="6" t="str">
        <f>INDEX(Table_KMMatrix[Community],ROW()-7,1)</f>
        <v xml:space="preserve">Emo </v>
      </c>
    </row>
    <row r="19" spans="2:2" x14ac:dyDescent="0.25">
      <c r="B19" s="6" t="str">
        <f>INDEX(Table_KMMatrix[Community],ROW()-7,1)</f>
        <v xml:space="preserve">Englehart </v>
      </c>
    </row>
    <row r="20" spans="2:2" x14ac:dyDescent="0.25">
      <c r="B20" s="6" t="str">
        <f>INDEX(Table_KMMatrix[Community],ROW()-7,1)</f>
        <v xml:space="preserve">Espanola </v>
      </c>
    </row>
    <row r="21" spans="2:2" x14ac:dyDescent="0.25">
      <c r="B21" s="6" t="str">
        <f>INDEX(Table_KMMatrix[Community],ROW()-7,1)</f>
        <v xml:space="preserve">Fort Frances </v>
      </c>
    </row>
    <row r="22" spans="2:2" x14ac:dyDescent="0.25">
      <c r="B22" s="6" t="str">
        <f>INDEX(Table_KMMatrix[Community],ROW()-7,1)</f>
        <v xml:space="preserve">Fort William F.N. </v>
      </c>
    </row>
    <row r="23" spans="2:2" x14ac:dyDescent="0.25">
      <c r="B23" s="6" t="str">
        <f>INDEX(Table_KMMatrix[Community],ROW()-7,1)</f>
        <v xml:space="preserve">Garden River F.N. </v>
      </c>
    </row>
    <row r="24" spans="2:2" x14ac:dyDescent="0.25">
      <c r="B24" s="6" t="str">
        <f>INDEX(Table_KMMatrix[Community],ROW()-7,1)</f>
        <v>Geraldton</v>
      </c>
    </row>
    <row r="25" spans="2:2" x14ac:dyDescent="0.25">
      <c r="B25" s="6" t="str">
        <f>INDEX(Table_KMMatrix[Community],ROW()-7,1)</f>
        <v xml:space="preserve">Gore Bay </v>
      </c>
    </row>
    <row r="26" spans="2:2" x14ac:dyDescent="0.25">
      <c r="B26" s="6" t="str">
        <f>INDEX(Table_KMMatrix[Community],ROW()-7,1)</f>
        <v>Hamilton</v>
      </c>
    </row>
    <row r="27" spans="2:2" x14ac:dyDescent="0.25">
      <c r="B27" s="6" t="str">
        <f>INDEX(Table_KMMatrix[Community],ROW()-7,1)</f>
        <v xml:space="preserve">Hearst </v>
      </c>
    </row>
    <row r="28" spans="2:2" x14ac:dyDescent="0.25">
      <c r="B28" s="6" t="str">
        <f>INDEX(Table_KMMatrix[Community],ROW()-7,1)</f>
        <v xml:space="preserve">Hornepayne </v>
      </c>
    </row>
    <row r="29" spans="2:2" x14ac:dyDescent="0.25">
      <c r="B29" s="6" t="str">
        <f>INDEX(Table_KMMatrix[Community],ROW()-7,1)</f>
        <v xml:space="preserve">Huntsville </v>
      </c>
    </row>
    <row r="30" spans="2:2" x14ac:dyDescent="0.25">
      <c r="B30" s="6" t="str">
        <f>INDEX(Table_KMMatrix[Community],ROW()-7,1)</f>
        <v xml:space="preserve">Iroquois Falls </v>
      </c>
    </row>
    <row r="31" spans="2:2" x14ac:dyDescent="0.25">
      <c r="B31" s="6" t="str">
        <f>INDEX(Table_KMMatrix[Community],ROW()-7,1)</f>
        <v xml:space="preserve">Kapuskasing </v>
      </c>
    </row>
    <row r="32" spans="2:2" x14ac:dyDescent="0.25">
      <c r="B32" s="6" t="str">
        <f>INDEX(Table_KMMatrix[Community],ROW()-7,1)</f>
        <v xml:space="preserve">Kenora </v>
      </c>
    </row>
    <row r="33" spans="2:2" x14ac:dyDescent="0.25">
      <c r="B33" s="6" t="str">
        <f>INDEX(Table_KMMatrix[Community],ROW()-7,1)</f>
        <v>Kingston</v>
      </c>
    </row>
    <row r="34" spans="2:2" x14ac:dyDescent="0.25">
      <c r="B34" s="6" t="str">
        <f>INDEX(Table_KMMatrix[Community],ROW()-7,1)</f>
        <v xml:space="preserve">Kirkland Lake </v>
      </c>
    </row>
    <row r="35" spans="2:2" x14ac:dyDescent="0.25">
      <c r="B35" s="6" t="str">
        <f>INDEX(Table_KMMatrix[Community],ROW()-7,1)</f>
        <v xml:space="preserve">Lac Seul F.N. </v>
      </c>
    </row>
    <row r="36" spans="2:2" x14ac:dyDescent="0.25">
      <c r="B36" s="6" t="str">
        <f>INDEX(Table_KMMatrix[Community],ROW()-7,1)</f>
        <v xml:space="preserve">Little Current </v>
      </c>
    </row>
    <row r="37" spans="2:2" x14ac:dyDescent="0.25">
      <c r="B37" s="6" t="str">
        <f>INDEX(Table_KMMatrix[Community],ROW()-7,1)</f>
        <v>London</v>
      </c>
    </row>
    <row r="38" spans="2:2" x14ac:dyDescent="0.25">
      <c r="B38" s="6" t="str">
        <f>INDEX(Table_KMMatrix[Community],ROW()-7,1)</f>
        <v xml:space="preserve">Manitowaning </v>
      </c>
    </row>
    <row r="39" spans="2:2" x14ac:dyDescent="0.25">
      <c r="B39" s="6" t="str">
        <f>INDEX(Table_KMMatrix[Community],ROW()-7,1)</f>
        <v xml:space="preserve">Marathon </v>
      </c>
    </row>
    <row r="40" spans="2:2" x14ac:dyDescent="0.25">
      <c r="B40" s="6" t="str">
        <f>INDEX(Table_KMMatrix[Community],ROW()-7,1)</f>
        <v xml:space="preserve">Matheson </v>
      </c>
    </row>
    <row r="41" spans="2:2" x14ac:dyDescent="0.25">
      <c r="B41" s="6" t="str">
        <f>INDEX(Table_KMMatrix[Community],ROW()-7,1)</f>
        <v xml:space="preserve">Mattagami Lake F.N. </v>
      </c>
    </row>
    <row r="42" spans="2:2" x14ac:dyDescent="0.25">
      <c r="B42" s="6" t="str">
        <f>INDEX(Table_KMMatrix[Community],ROW()-7,1)</f>
        <v xml:space="preserve">Mattawa </v>
      </c>
    </row>
    <row r="43" spans="2:2" x14ac:dyDescent="0.25">
      <c r="B43" s="6" t="str">
        <f>INDEX(Table_KMMatrix[Community],ROW()-7,1)</f>
        <v xml:space="preserve">M'Chigeeng F.N. </v>
      </c>
    </row>
    <row r="44" spans="2:2" x14ac:dyDescent="0.25">
      <c r="B44" s="6" t="str">
        <f>INDEX(Table_KMMatrix[Community],ROW()-7,1)</f>
        <v>Midland</v>
      </c>
    </row>
    <row r="45" spans="2:2" x14ac:dyDescent="0.25">
      <c r="B45" s="6" t="str">
        <f>INDEX(Table_KMMatrix[Community],ROW()-7,1)</f>
        <v xml:space="preserve">Mindemoya </v>
      </c>
    </row>
    <row r="46" spans="2:2" x14ac:dyDescent="0.25">
      <c r="B46" s="6" t="str">
        <f>INDEX(Table_KMMatrix[Community],ROW()-7,1)</f>
        <v>New Liskeard</v>
      </c>
    </row>
    <row r="47" spans="2:2" x14ac:dyDescent="0.25">
      <c r="B47" s="6" t="str">
        <f>INDEX(Table_KMMatrix[Community],ROW()-7,1)</f>
        <v xml:space="preserve">Nipigon </v>
      </c>
    </row>
    <row r="48" spans="2:2" x14ac:dyDescent="0.25">
      <c r="B48" s="6" t="str">
        <f>INDEX(Table_KMMatrix[Community],ROW()-7,1)</f>
        <v xml:space="preserve">Nipissing F.N. </v>
      </c>
    </row>
    <row r="49" spans="2:2" x14ac:dyDescent="0.25">
      <c r="B49" s="6" t="str">
        <f>INDEX(Table_KMMatrix[Community],ROW()-7,1)</f>
        <v xml:space="preserve">North Bay </v>
      </c>
    </row>
    <row r="50" spans="2:2" x14ac:dyDescent="0.25">
      <c r="B50" s="6" t="str">
        <f>INDEX(Table_KMMatrix[Community],ROW()-7,1)</f>
        <v>Ojibways of the Pic River F.N.</v>
      </c>
    </row>
    <row r="51" spans="2:2" x14ac:dyDescent="0.25">
      <c r="B51" s="6" t="str">
        <f>INDEX(Table_KMMatrix[Community],ROW()-7,1)</f>
        <v>Ottawa</v>
      </c>
    </row>
    <row r="52" spans="2:2" x14ac:dyDescent="0.25">
      <c r="B52" s="6" t="str">
        <f>INDEX(Table_KMMatrix[Community],ROW()-7,1)</f>
        <v>Parry Sound</v>
      </c>
    </row>
    <row r="53" spans="2:2" x14ac:dyDescent="0.25">
      <c r="B53" s="6" t="str">
        <f>INDEX(Table_KMMatrix[Community],ROW()-7,1)</f>
        <v xml:space="preserve">Powassan </v>
      </c>
    </row>
    <row r="54" spans="2:2" x14ac:dyDescent="0.25">
      <c r="B54" s="6" t="str">
        <f>INDEX(Table_KMMatrix[Community],ROW()-7,1)</f>
        <v xml:space="preserve">Rainy River </v>
      </c>
    </row>
    <row r="55" spans="2:2" x14ac:dyDescent="0.25">
      <c r="B55" s="6" t="str">
        <f>INDEX(Table_KMMatrix[Community],ROW()-7,1)</f>
        <v xml:space="preserve">Red Lake </v>
      </c>
    </row>
    <row r="56" spans="2:2" x14ac:dyDescent="0.25">
      <c r="B56" s="6" t="str">
        <f>INDEX(Table_KMMatrix[Community],ROW()-7,1)</f>
        <v xml:space="preserve">Richards Landing </v>
      </c>
    </row>
    <row r="57" spans="2:2" x14ac:dyDescent="0.25">
      <c r="B57" s="6" t="str">
        <f>INDEX(Table_KMMatrix[Community],ROW()-7,1)</f>
        <v xml:space="preserve">Sagamok Anishinabek </v>
      </c>
    </row>
    <row r="58" spans="2:2" x14ac:dyDescent="0.25">
      <c r="B58" s="6" t="str">
        <f>INDEX(Table_KMMatrix[Community],ROW()-7,1)</f>
        <v xml:space="preserve">Sault Ste. Marie </v>
      </c>
    </row>
    <row r="59" spans="2:2" x14ac:dyDescent="0.25">
      <c r="B59" s="6" t="str">
        <f>INDEX(Table_KMMatrix[Community],ROW()-7,1)</f>
        <v xml:space="preserve">Serpent River F.N. </v>
      </c>
    </row>
    <row r="60" spans="2:2" x14ac:dyDescent="0.25">
      <c r="B60" s="6" t="str">
        <f>INDEX(Table_KMMatrix[Community],ROW()-7,1)</f>
        <v>Sioux Lookout</v>
      </c>
    </row>
    <row r="61" spans="2:2" x14ac:dyDescent="0.25">
      <c r="B61" s="6" t="str">
        <f>INDEX(Table_KMMatrix[Community],ROW()-7,1)</f>
        <v xml:space="preserve">Smooth Rock Falls </v>
      </c>
    </row>
    <row r="62" spans="2:2" x14ac:dyDescent="0.25">
      <c r="B62" s="6" t="str">
        <f>INDEX(Table_KMMatrix[Community],ROW()-7,1)</f>
        <v xml:space="preserve">Sturgeon Falls </v>
      </c>
    </row>
    <row r="63" spans="2:2" x14ac:dyDescent="0.25">
      <c r="B63" s="6" t="str">
        <f>INDEX(Table_KMMatrix[Community],ROW()-7,1)</f>
        <v xml:space="preserve">Sudbury </v>
      </c>
    </row>
    <row r="64" spans="2:2" x14ac:dyDescent="0.25">
      <c r="B64" s="6" t="str">
        <f>INDEX(Table_KMMatrix[Community],ROW()-7,1)</f>
        <v xml:space="preserve">Temagami </v>
      </c>
    </row>
    <row r="65" spans="2:2" x14ac:dyDescent="0.25">
      <c r="B65" s="6" t="str">
        <f>INDEX(Table_KMMatrix[Community],ROW()-7,1)</f>
        <v xml:space="preserve">Temagami F.N. </v>
      </c>
    </row>
    <row r="66" spans="2:2" x14ac:dyDescent="0.25">
      <c r="B66" s="6" t="str">
        <f>INDEX(Table_KMMatrix[Community],ROW()-7,1)</f>
        <v>Temiskaming Shores</v>
      </c>
    </row>
    <row r="67" spans="2:2" x14ac:dyDescent="0.25">
      <c r="B67" s="6" t="str">
        <f>INDEX(Table_KMMatrix[Community],ROW()-7,1)</f>
        <v xml:space="preserve">Terrace Bay </v>
      </c>
    </row>
    <row r="68" spans="2:2" x14ac:dyDescent="0.25">
      <c r="B68" s="6" t="str">
        <f>INDEX(Table_KMMatrix[Community],ROW()-7,1)</f>
        <v xml:space="preserve">Thessalon </v>
      </c>
    </row>
    <row r="69" spans="2:2" x14ac:dyDescent="0.25">
      <c r="B69" s="6" t="str">
        <f>INDEX(Table_KMMatrix[Community],ROW()-7,1)</f>
        <v>Thunder Bay</v>
      </c>
    </row>
    <row r="70" spans="2:2" x14ac:dyDescent="0.25">
      <c r="B70" s="6" t="str">
        <f>INDEX(Table_KMMatrix[Community],ROW()-7,1)</f>
        <v xml:space="preserve">Timmins </v>
      </c>
    </row>
    <row r="71" spans="2:2" x14ac:dyDescent="0.25">
      <c r="B71" s="6" t="str">
        <f>INDEX(Table_KMMatrix[Community],ROW()-7,1)</f>
        <v>Toronto</v>
      </c>
    </row>
    <row r="72" spans="2:2" x14ac:dyDescent="0.25">
      <c r="B72" s="6" t="str">
        <f>INDEX(Table_KMMatrix[Community],ROW()-7,1)</f>
        <v xml:space="preserve">Wawa </v>
      </c>
    </row>
    <row r="73" spans="2:2" x14ac:dyDescent="0.25">
      <c r="B73" s="6" t="str">
        <f>INDEX(Table_KMMatrix[Community],ROW()-7,1)</f>
        <v xml:space="preserve">Whitefish Lake F.N. </v>
      </c>
    </row>
    <row r="74" spans="2:2" x14ac:dyDescent="0.25">
      <c r="B74" s="6" t="str">
        <f>INDEX(Table_KMMatrix[Community],ROW()-7,1)</f>
        <v xml:space="preserve">Whitefish River F.N. </v>
      </c>
    </row>
  </sheetData>
  <sheetProtection password="EDC4" sheet="1" objects="1" scenarios="1"/>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D12"/>
  <sheetViews>
    <sheetView workbookViewId="0"/>
  </sheetViews>
  <sheetFormatPr defaultRowHeight="15" x14ac:dyDescent="0.25"/>
  <cols>
    <col min="1" max="1" width="9.28515625" customWidth="1"/>
    <col min="2" max="2" width="13.28515625" customWidth="1"/>
    <col min="3" max="3" width="13.42578125" customWidth="1"/>
    <col min="4" max="4" width="17.140625" customWidth="1"/>
    <col min="6" max="6" width="20.7109375" bestFit="1" customWidth="1"/>
  </cols>
  <sheetData>
    <row r="1" spans="2:4" ht="21" x14ac:dyDescent="0.35">
      <c r="B1" s="348" t="s">
        <v>1173</v>
      </c>
      <c r="C1" s="349"/>
      <c r="D1" s="350"/>
    </row>
    <row r="2" spans="2:4" x14ac:dyDescent="0.25">
      <c r="B2" s="1"/>
      <c r="C2" s="2"/>
      <c r="D2" s="2"/>
    </row>
    <row r="3" spans="2:4" x14ac:dyDescent="0.25">
      <c r="B3" s="1"/>
      <c r="C3" s="3" t="s">
        <v>1174</v>
      </c>
      <c r="D3" s="53">
        <f>SUM(Table_MealMax[Meal Maximum])</f>
        <v>75</v>
      </c>
    </row>
    <row r="4" spans="2:4" ht="4.5" customHeight="1" x14ac:dyDescent="0.25">
      <c r="B4" s="1"/>
      <c r="C4" s="2"/>
      <c r="D4" s="2"/>
    </row>
    <row r="5" spans="2:4" x14ac:dyDescent="0.25">
      <c r="B5" s="2" t="s">
        <v>1175</v>
      </c>
      <c r="C5" s="2" t="s">
        <v>1176</v>
      </c>
      <c r="D5" s="2" t="s">
        <v>1177</v>
      </c>
    </row>
    <row r="6" spans="2:4" x14ac:dyDescent="0.25">
      <c r="B6" s="2" t="s">
        <v>13</v>
      </c>
      <c r="C6" s="2" t="s">
        <v>1178</v>
      </c>
      <c r="D6" s="52">
        <v>16</v>
      </c>
    </row>
    <row r="7" spans="2:4" x14ac:dyDescent="0.25">
      <c r="B7" s="2" t="s">
        <v>14</v>
      </c>
      <c r="C7" s="2" t="s">
        <v>1179</v>
      </c>
      <c r="D7" s="52">
        <v>17</v>
      </c>
    </row>
    <row r="8" spans="2:4" x14ac:dyDescent="0.25">
      <c r="B8" s="2" t="s">
        <v>15</v>
      </c>
      <c r="C8" s="2" t="s">
        <v>1180</v>
      </c>
      <c r="D8" s="52">
        <v>42</v>
      </c>
    </row>
    <row r="10" spans="2:4" x14ac:dyDescent="0.25">
      <c r="B10" s="30"/>
      <c r="C10" s="29" t="s">
        <v>880</v>
      </c>
      <c r="D10" s="30">
        <v>16</v>
      </c>
    </row>
    <row r="11" spans="2:4" x14ac:dyDescent="0.25">
      <c r="B11" s="30"/>
      <c r="C11" s="29" t="s">
        <v>884</v>
      </c>
      <c r="D11" s="30">
        <v>17</v>
      </c>
    </row>
    <row r="12" spans="2:4" x14ac:dyDescent="0.25">
      <c r="B12" s="30"/>
      <c r="C12" s="29" t="s">
        <v>882</v>
      </c>
      <c r="D12" s="30">
        <v>42</v>
      </c>
    </row>
  </sheetData>
  <sheetProtection password="EDC4" sheet="1" objects="1" scenarios="1" selectLockedCells="1" selectUnlockedCells="1"/>
  <mergeCells count="1">
    <mergeCell ref="B1:D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M52"/>
  <sheetViews>
    <sheetView workbookViewId="0"/>
  </sheetViews>
  <sheetFormatPr defaultRowHeight="15" x14ac:dyDescent="0.25"/>
  <cols>
    <col min="2" max="2" width="35.28515625" bestFit="1" customWidth="1"/>
    <col min="3" max="3" width="31.42578125" style="30" bestFit="1" customWidth="1"/>
    <col min="4" max="4" width="20.140625" bestFit="1" customWidth="1"/>
    <col min="5" max="5" width="58.7109375" bestFit="1" customWidth="1"/>
    <col min="6" max="6" width="18.85546875" style="30" bestFit="1" customWidth="1"/>
    <col min="7" max="7" width="31.42578125" style="30" bestFit="1" customWidth="1"/>
    <col min="8" max="8" width="20.28515625" bestFit="1" customWidth="1"/>
    <col min="9" max="13" width="20.28515625" style="30" customWidth="1"/>
    <col min="16" max="16" width="31.42578125" bestFit="1" customWidth="1"/>
    <col min="17" max="17" width="13.5703125" customWidth="1"/>
  </cols>
  <sheetData>
    <row r="1" spans="2:13" ht="21" x14ac:dyDescent="0.35">
      <c r="B1" s="359" t="s">
        <v>1181</v>
      </c>
      <c r="C1" s="359"/>
      <c r="D1" s="359"/>
      <c r="E1" s="359"/>
      <c r="F1" s="359"/>
      <c r="G1" s="359"/>
      <c r="H1" s="360"/>
      <c r="I1" s="156"/>
      <c r="J1" s="156"/>
      <c r="K1" s="156"/>
      <c r="L1" s="156"/>
      <c r="M1" s="156"/>
    </row>
    <row r="3" spans="2:13" x14ac:dyDescent="0.25">
      <c r="B3" s="4" t="s">
        <v>768</v>
      </c>
      <c r="C3" s="64"/>
      <c r="D3" s="30"/>
      <c r="E3" s="30"/>
      <c r="H3" s="30"/>
    </row>
    <row r="4" spans="2:13" x14ac:dyDescent="0.25">
      <c r="B4" s="30"/>
      <c r="C4" s="30" t="s">
        <v>1182</v>
      </c>
      <c r="D4" s="30" t="s">
        <v>1182</v>
      </c>
      <c r="E4" s="30" t="s">
        <v>1182</v>
      </c>
      <c r="F4" s="30" t="s">
        <v>1182</v>
      </c>
      <c r="G4" s="30" t="s">
        <v>1183</v>
      </c>
      <c r="H4" s="30" t="s">
        <v>1184</v>
      </c>
      <c r="I4" s="30" t="s">
        <v>1184</v>
      </c>
      <c r="J4" s="30" t="s">
        <v>1184</v>
      </c>
      <c r="K4" s="30" t="s">
        <v>1184</v>
      </c>
      <c r="L4" s="30" t="s">
        <v>184</v>
      </c>
      <c r="M4" s="30" t="s">
        <v>184</v>
      </c>
    </row>
    <row r="5" spans="2:13" x14ac:dyDescent="0.25">
      <c r="B5" s="6" t="s">
        <v>1185</v>
      </c>
      <c r="C5" s="6" t="s">
        <v>189</v>
      </c>
      <c r="D5" s="6" t="s">
        <v>1186</v>
      </c>
      <c r="E5" s="6" t="s">
        <v>1187</v>
      </c>
      <c r="F5" s="6" t="s">
        <v>1188</v>
      </c>
      <c r="G5" s="6" t="s">
        <v>1189</v>
      </c>
      <c r="H5" s="6" t="s">
        <v>1190</v>
      </c>
      <c r="I5" s="6" t="s">
        <v>1191</v>
      </c>
      <c r="J5" s="6" t="s">
        <v>1192</v>
      </c>
      <c r="K5" s="6" t="s">
        <v>1193</v>
      </c>
      <c r="L5" s="6" t="s">
        <v>1194</v>
      </c>
      <c r="M5" s="6" t="s">
        <v>1195</v>
      </c>
    </row>
    <row r="6" spans="2:13" x14ac:dyDescent="0.25">
      <c r="B6" s="55" t="str">
        <f>Table_Expenses[[#This Row],[Class]]&amp;"-"&amp;Table_Expenses[[#This Row],[Expenses]]</f>
        <v>Accomm-Hotel/Motel</v>
      </c>
      <c r="C6" s="55">
        <v>1</v>
      </c>
      <c r="D6" s="6" t="s">
        <v>1196</v>
      </c>
      <c r="E6" s="6" t="s">
        <v>1197</v>
      </c>
      <c r="F6" s="6" t="s">
        <v>13</v>
      </c>
      <c r="G6" s="6" t="str">
        <f>VLOOKUP(Table_Expenses[[#This Row],[Summary Pot '#]],Table_SummaryPots[],MATCH(Table_SummaryPots[[#Headers],[Summary Pots]],Table_SummaryPots[#Headers],0),FALSE)</f>
        <v>Transportation &amp; Accommodation</v>
      </c>
      <c r="H6" s="6" t="s">
        <v>1198</v>
      </c>
      <c r="I6" s="6" t="b">
        <v>0</v>
      </c>
      <c r="J6" s="6" t="b">
        <v>0</v>
      </c>
      <c r="K6" s="6" t="b">
        <v>0</v>
      </c>
      <c r="L6" s="6" t="b">
        <f>IF(Table_Expenses[[#This Row],[Receipt or Mileage]]="Receipt",TRUE,FALSE)</f>
        <v>1</v>
      </c>
      <c r="M6" s="6" t="b">
        <f>NOT(Table_Expenses[[#This Row],[ReceiptRequired]])</f>
        <v>0</v>
      </c>
    </row>
    <row r="7" spans="2:13" x14ac:dyDescent="0.25">
      <c r="B7" s="55" t="str">
        <f>Table_Expenses[[#This Row],[Class]]&amp;"-"&amp;Table_Expenses[[#This Row],[Expenses]]</f>
        <v>Accomm-Private Res.</v>
      </c>
      <c r="C7" s="55">
        <v>2</v>
      </c>
      <c r="D7" s="6" t="s">
        <v>1199</v>
      </c>
      <c r="E7" s="6" t="s">
        <v>1197</v>
      </c>
      <c r="F7" s="6" t="s">
        <v>13</v>
      </c>
      <c r="G7" s="6" t="str">
        <f>VLOOKUP(Table_Expenses[[#This Row],[Summary Pot '#]],Table_SummaryPots[],MATCH(Table_SummaryPots[[#Headers],[Summary Pots]],Table_SummaryPots[#Headers],0),FALSE)</f>
        <v>Transportation &amp; Accommodation</v>
      </c>
      <c r="H7" s="6" t="s">
        <v>1198</v>
      </c>
      <c r="I7" s="6" t="b">
        <v>1</v>
      </c>
      <c r="J7" s="6" t="b">
        <v>0</v>
      </c>
      <c r="K7" s="6" t="b">
        <v>0</v>
      </c>
      <c r="L7" s="6" t="b">
        <f>IF(Table_Expenses[[#This Row],[Receipt or Mileage]]="Receipt",TRUE,FALSE)</f>
        <v>1</v>
      </c>
      <c r="M7" s="6" t="b">
        <f>NOT(Table_Expenses[[#This Row],[ReceiptRequired]])</f>
        <v>0</v>
      </c>
    </row>
    <row r="8" spans="2:13" x14ac:dyDescent="0.25">
      <c r="B8" s="55" t="str">
        <f>Table_Expenses[[#This Row],[Class]]&amp;"-"&amp;Table_Expenses[[#This Row],[Expenses]]</f>
        <v>Accomm-Other</v>
      </c>
      <c r="C8" s="55">
        <v>3</v>
      </c>
      <c r="D8" s="6" t="s">
        <v>1115</v>
      </c>
      <c r="E8" s="6" t="s">
        <v>1197</v>
      </c>
      <c r="F8" s="6" t="s">
        <v>13</v>
      </c>
      <c r="G8" s="6" t="str">
        <f>VLOOKUP(Table_Expenses[[#This Row],[Summary Pot '#]],Table_SummaryPots[],MATCH(Table_SummaryPots[[#Headers],[Summary Pots]],Table_SummaryPots[#Headers],0),FALSE)</f>
        <v>Transportation &amp; Accommodation</v>
      </c>
      <c r="H8" s="6" t="s">
        <v>1198</v>
      </c>
      <c r="I8" s="6" t="b">
        <v>1</v>
      </c>
      <c r="J8" s="6" t="b">
        <v>0</v>
      </c>
      <c r="K8" s="6" t="b">
        <v>0</v>
      </c>
      <c r="L8" s="6" t="b">
        <f>IF(Table_Expenses[[#This Row],[Receipt or Mileage]]="Receipt",TRUE,FALSE)</f>
        <v>1</v>
      </c>
      <c r="M8" s="6" t="b">
        <f>NOT(Table_Expenses[[#This Row],[ReceiptRequired]])</f>
        <v>0</v>
      </c>
    </row>
    <row r="9" spans="2:13" x14ac:dyDescent="0.25">
      <c r="B9" s="55" t="str">
        <f>Table_Expenses[[#This Row],[Class]]&amp;"-"&amp;Table_Expenses[[#This Row],[Expenses]]</f>
        <v>Trans-Airfare</v>
      </c>
      <c r="C9" s="55">
        <v>4</v>
      </c>
      <c r="D9" s="6" t="s">
        <v>1200</v>
      </c>
      <c r="E9" s="6" t="s">
        <v>1201</v>
      </c>
      <c r="F9" s="6" t="s">
        <v>13</v>
      </c>
      <c r="G9" s="6" t="str">
        <f>VLOOKUP(Table_Expenses[[#This Row],[Summary Pot '#]],Table_SummaryPots[],MATCH(Table_SummaryPots[[#Headers],[Summary Pots]],Table_SummaryPots[#Headers],0),FALSE)</f>
        <v>Transportation &amp; Accommodation</v>
      </c>
      <c r="H9" s="6" t="s">
        <v>1198</v>
      </c>
      <c r="I9" s="6" t="b">
        <v>0</v>
      </c>
      <c r="J9" s="6" t="b">
        <v>1</v>
      </c>
      <c r="K9" s="6" t="b">
        <v>1</v>
      </c>
      <c r="L9" s="6" t="b">
        <f>IF(Table_Expenses[[#This Row],[Receipt or Mileage]]="Receipt",TRUE,FALSE)</f>
        <v>1</v>
      </c>
      <c r="M9" s="6" t="b">
        <f>NOT(Table_Expenses[[#This Row],[ReceiptRequired]])</f>
        <v>0</v>
      </c>
    </row>
    <row r="10" spans="2:13" s="30" customFormat="1" x14ac:dyDescent="0.25">
      <c r="B10" s="56" t="str">
        <f>Table_Expenses[[#This Row],[Class]]&amp;"-"&amp;Table_Expenses[[#This Row],[Expenses]]</f>
        <v>Trans-Baggage Fee</v>
      </c>
      <c r="C10" s="55">
        <v>5</v>
      </c>
      <c r="D10" s="6" t="s">
        <v>1202</v>
      </c>
      <c r="E10" s="6" t="s">
        <v>1201</v>
      </c>
      <c r="F10" s="6" t="s">
        <v>13</v>
      </c>
      <c r="G10" s="20" t="str">
        <f>VLOOKUP(Table_Expenses[[#This Row],[Summary Pot '#]],Table_SummaryPots[],MATCH(Table_SummaryPots[[#Headers],[Summary Pots]],Table_SummaryPots[#Headers],0),FALSE)</f>
        <v>Transportation &amp; Accommodation</v>
      </c>
      <c r="H10" s="6" t="s">
        <v>1198</v>
      </c>
      <c r="I10" s="6" t="b">
        <v>0</v>
      </c>
      <c r="J10" s="6" t="b">
        <v>0</v>
      </c>
      <c r="K10" s="6" t="b">
        <v>0</v>
      </c>
      <c r="L10" s="20" t="b">
        <f>IF(Table_Expenses[[#This Row],[Receipt or Mileage]]="Receipt",TRUE,FALSE)</f>
        <v>1</v>
      </c>
      <c r="M10" s="20" t="b">
        <f>NOT(Table_Expenses[[#This Row],[ReceiptRequired]])</f>
        <v>0</v>
      </c>
    </row>
    <row r="11" spans="2:13" x14ac:dyDescent="0.25">
      <c r="B11" s="55" t="str">
        <f>Table_Expenses[[#This Row],[Class]]&amp;"-"&amp;Table_Expenses[[#This Row],[Expenses]]</f>
        <v>Trans-Rental Vehicle</v>
      </c>
      <c r="C11" s="55">
        <v>6</v>
      </c>
      <c r="D11" s="6" t="s">
        <v>1203</v>
      </c>
      <c r="E11" s="6" t="s">
        <v>1201</v>
      </c>
      <c r="F11" s="6" t="s">
        <v>13</v>
      </c>
      <c r="G11" s="6" t="str">
        <f>VLOOKUP(Table_Expenses[[#This Row],[Summary Pot '#]],Table_SummaryPots[],MATCH(Table_SummaryPots[[#Headers],[Summary Pots]],Table_SummaryPots[#Headers],0),FALSE)</f>
        <v>Transportation &amp; Accommodation</v>
      </c>
      <c r="H11" s="6" t="s">
        <v>1198</v>
      </c>
      <c r="I11" s="6" t="b">
        <v>0</v>
      </c>
      <c r="J11" s="6" t="b">
        <v>1</v>
      </c>
      <c r="K11" s="6" t="b">
        <v>1</v>
      </c>
      <c r="L11" s="6" t="b">
        <f>IF(Table_Expenses[[#This Row],[Receipt or Mileage]]="Receipt",TRUE,FALSE)</f>
        <v>1</v>
      </c>
      <c r="M11" s="6" t="b">
        <f>NOT(Table_Expenses[[#This Row],[ReceiptRequired]])</f>
        <v>0</v>
      </c>
    </row>
    <row r="12" spans="2:13" x14ac:dyDescent="0.25">
      <c r="B12" s="55" t="str">
        <f>Table_Expenses[[#This Row],[Class]]&amp;"-"&amp;Table_Expenses[[#This Row],[Expenses]]</f>
        <v>Trans-Fuel</v>
      </c>
      <c r="C12" s="55">
        <v>7</v>
      </c>
      <c r="D12" s="6" t="s">
        <v>1204</v>
      </c>
      <c r="E12" s="6" t="s">
        <v>1201</v>
      </c>
      <c r="F12" s="6" t="s">
        <v>13</v>
      </c>
      <c r="G12" s="6" t="str">
        <f>VLOOKUP(Table_Expenses[[#This Row],[Summary Pot '#]],Table_SummaryPots[],MATCH(Table_SummaryPots[[#Headers],[Summary Pots]],Table_SummaryPots[#Headers],0),FALSE)</f>
        <v>Transportation &amp; Accommodation</v>
      </c>
      <c r="H12" s="6" t="s">
        <v>1198</v>
      </c>
      <c r="I12" s="6" t="b">
        <v>0</v>
      </c>
      <c r="J12" s="6" t="b">
        <v>1</v>
      </c>
      <c r="K12" s="6" t="b">
        <v>1</v>
      </c>
      <c r="L12" s="6" t="b">
        <f>IF(Table_Expenses[[#This Row],[Receipt or Mileage]]="Receipt",TRUE,FALSE)</f>
        <v>1</v>
      </c>
      <c r="M12" s="6" t="b">
        <f>NOT(Table_Expenses[[#This Row],[ReceiptRequired]])</f>
        <v>0</v>
      </c>
    </row>
    <row r="13" spans="2:13" x14ac:dyDescent="0.25">
      <c r="B13" s="55" t="str">
        <f>Table_Expenses[[#This Row],[Class]]&amp;"-"&amp;Table_Expenses[[#This Row],[Expenses]]</f>
        <v>Trans-Taxi</v>
      </c>
      <c r="C13" s="55">
        <v>8</v>
      </c>
      <c r="D13" s="6" t="s">
        <v>1205</v>
      </c>
      <c r="E13" s="6" t="s">
        <v>1201</v>
      </c>
      <c r="F13" s="6" t="s">
        <v>13</v>
      </c>
      <c r="G13" s="6" t="str">
        <f>VLOOKUP(Table_Expenses[[#This Row],[Summary Pot '#]],Table_SummaryPots[],MATCH(Table_SummaryPots[[#Headers],[Summary Pots]],Table_SummaryPots[#Headers],0),FALSE)</f>
        <v>Transportation &amp; Accommodation</v>
      </c>
      <c r="H13" s="6" t="s">
        <v>1198</v>
      </c>
      <c r="I13" s="6" t="b">
        <v>0</v>
      </c>
      <c r="J13" s="6" t="b">
        <v>1</v>
      </c>
      <c r="K13" s="6" t="b">
        <v>1</v>
      </c>
      <c r="L13" s="6" t="b">
        <f>IF(Table_Expenses[[#This Row],[Receipt or Mileage]]="Receipt",TRUE,FALSE)</f>
        <v>1</v>
      </c>
      <c r="M13" s="6" t="b">
        <f>NOT(Table_Expenses[[#This Row],[ReceiptRequired]])</f>
        <v>0</v>
      </c>
    </row>
    <row r="14" spans="2:13" x14ac:dyDescent="0.25">
      <c r="B14" s="55" t="str">
        <f>Table_Expenses[[#This Row],[Class]]&amp;"-"&amp;Table_Expenses[[#This Row],[Expenses]]</f>
        <v>Trans-Mileage</v>
      </c>
      <c r="C14" s="55">
        <v>9</v>
      </c>
      <c r="D14" s="6" t="s">
        <v>1206</v>
      </c>
      <c r="E14" s="6" t="s">
        <v>1201</v>
      </c>
      <c r="F14" s="6" t="s">
        <v>13</v>
      </c>
      <c r="G14" s="6" t="str">
        <f>VLOOKUP(Table_Expenses[[#This Row],[Summary Pot '#]],Table_SummaryPots[],MATCH(Table_SummaryPots[[#Headers],[Summary Pots]],Table_SummaryPots[#Headers],0),FALSE)</f>
        <v>Transportation &amp; Accommodation</v>
      </c>
      <c r="H14" s="6" t="s">
        <v>1206</v>
      </c>
      <c r="I14" s="6" t="b">
        <v>0</v>
      </c>
      <c r="J14" s="6" t="b">
        <v>1</v>
      </c>
      <c r="K14" s="6" t="b">
        <v>1</v>
      </c>
      <c r="L14" s="6" t="b">
        <f>IF(Table_Expenses[[#This Row],[Receipt or Mileage]]="Receipt",TRUE,FALSE)</f>
        <v>0</v>
      </c>
      <c r="M14" s="6" t="b">
        <f>NOT(Table_Expenses[[#This Row],[ReceiptRequired]])</f>
        <v>1</v>
      </c>
    </row>
    <row r="15" spans="2:13" x14ac:dyDescent="0.25">
      <c r="B15" s="56" t="str">
        <f>Table_Expenses[[#This Row],[Class]]&amp;"-"&amp;Table_Expenses[[#This Row],[Expenses]]</f>
        <v>Trans-Max Mileage</v>
      </c>
      <c r="C15" s="56">
        <v>10</v>
      </c>
      <c r="D15" s="6" t="s">
        <v>1207</v>
      </c>
      <c r="E15" s="6" t="s">
        <v>1201</v>
      </c>
      <c r="F15" s="6" t="s">
        <v>13</v>
      </c>
      <c r="G15" s="20" t="str">
        <f>VLOOKUP(Table_Expenses[[#This Row],[Summary Pot '#]],Table_SummaryPots[],MATCH(Table_SummaryPots[[#Headers],[Summary Pots]],Table_SummaryPots[#Headers],0),FALSE)</f>
        <v>Transportation &amp; Accommodation</v>
      </c>
      <c r="H15" s="6" t="s">
        <v>1198</v>
      </c>
      <c r="I15" s="6" t="b">
        <v>1</v>
      </c>
      <c r="J15" s="6" t="b">
        <v>1</v>
      </c>
      <c r="K15" s="6" t="b">
        <v>1</v>
      </c>
      <c r="L15" s="20" t="b">
        <f>IF(Table_Expenses[[#This Row],[Receipt or Mileage]]="Receipt",TRUE,FALSE)</f>
        <v>1</v>
      </c>
      <c r="M15" s="20" t="b">
        <f>NOT(Table_Expenses[[#This Row],[ReceiptRequired]])</f>
        <v>0</v>
      </c>
    </row>
    <row r="16" spans="2:13" x14ac:dyDescent="0.25">
      <c r="B16" s="55" t="str">
        <f>Table_Expenses[[#This Row],[Class]]&amp;"-"&amp;Table_Expenses[[#This Row],[Expenses]]</f>
        <v>Trans-Parking</v>
      </c>
      <c r="C16" s="55">
        <v>11</v>
      </c>
      <c r="D16" s="6" t="s">
        <v>1208</v>
      </c>
      <c r="E16" s="6" t="s">
        <v>1201</v>
      </c>
      <c r="F16" s="6" t="s">
        <v>13</v>
      </c>
      <c r="G16" s="6" t="str">
        <f>VLOOKUP(Table_Expenses[[#This Row],[Summary Pot '#]],Table_SummaryPots[],MATCH(Table_SummaryPots[[#Headers],[Summary Pots]],Table_SummaryPots[#Headers],0),FALSE)</f>
        <v>Transportation &amp; Accommodation</v>
      </c>
      <c r="H16" s="6" t="s">
        <v>1198</v>
      </c>
      <c r="I16" s="6" t="b">
        <v>0</v>
      </c>
      <c r="J16" s="6" t="b">
        <v>0</v>
      </c>
      <c r="K16" s="6" t="b">
        <v>0</v>
      </c>
      <c r="L16" s="6" t="b">
        <f>IF(Table_Expenses[[#This Row],[Receipt or Mileage]]="Receipt",TRUE,FALSE)</f>
        <v>1</v>
      </c>
      <c r="M16" s="6" t="b">
        <f>NOT(Table_Expenses[[#This Row],[ReceiptRequired]])</f>
        <v>0</v>
      </c>
    </row>
    <row r="17" spans="2:13" s="30" customFormat="1" x14ac:dyDescent="0.25">
      <c r="B17" s="55" t="str">
        <f>Table_Expenses[[#This Row],[Class]]&amp;"-"&amp;Table_Expenses[[#This Row],[Expenses]]</f>
        <v>Trans-Bus</v>
      </c>
      <c r="C17" s="55">
        <v>12</v>
      </c>
      <c r="D17" s="6" t="s">
        <v>1209</v>
      </c>
      <c r="E17" s="6" t="s">
        <v>1201</v>
      </c>
      <c r="F17" s="6" t="s">
        <v>13</v>
      </c>
      <c r="G17" s="6" t="str">
        <f>VLOOKUP(Table_Expenses[[#This Row],[Summary Pot '#]],Table_SummaryPots[],MATCH(Table_SummaryPots[[#Headers],[Summary Pots]],Table_SummaryPots[#Headers],0),FALSE)</f>
        <v>Transportation &amp; Accommodation</v>
      </c>
      <c r="H17" s="6" t="s">
        <v>1198</v>
      </c>
      <c r="I17" s="6" t="b">
        <v>0</v>
      </c>
      <c r="J17" s="6" t="b">
        <v>1</v>
      </c>
      <c r="K17" s="6" t="b">
        <v>1</v>
      </c>
      <c r="L17" s="6" t="b">
        <f>IF(Table_Expenses[[#This Row],[Receipt or Mileage]]="Receipt",TRUE,FALSE)</f>
        <v>1</v>
      </c>
      <c r="M17" s="6" t="b">
        <f>NOT(Table_Expenses[[#This Row],[ReceiptRequired]])</f>
        <v>0</v>
      </c>
    </row>
    <row r="18" spans="2:13" x14ac:dyDescent="0.25">
      <c r="B18" s="55" t="str">
        <f>Table_Expenses[[#This Row],[Class]]&amp;"-"&amp;Table_Expenses[[#This Row],[Expenses]]</f>
        <v>Trans-Public</v>
      </c>
      <c r="C18" s="55">
        <v>13</v>
      </c>
      <c r="D18" s="6" t="s">
        <v>1210</v>
      </c>
      <c r="E18" s="6" t="s">
        <v>1201</v>
      </c>
      <c r="F18" s="6" t="s">
        <v>13</v>
      </c>
      <c r="G18" s="6" t="str">
        <f>VLOOKUP(Table_Expenses[[#This Row],[Summary Pot '#]],Table_SummaryPots[],MATCH(Table_SummaryPots[[#Headers],[Summary Pots]],Table_SummaryPots[#Headers],0),FALSE)</f>
        <v>Transportation &amp; Accommodation</v>
      </c>
      <c r="H18" s="6" t="s">
        <v>1198</v>
      </c>
      <c r="I18" s="6" t="b">
        <v>0</v>
      </c>
      <c r="J18" s="6" t="b">
        <v>0</v>
      </c>
      <c r="K18" s="6" t="b">
        <v>0</v>
      </c>
      <c r="L18" s="6" t="b">
        <f>IF(Table_Expenses[[#This Row],[Receipt or Mileage]]="Receipt",TRUE,FALSE)</f>
        <v>1</v>
      </c>
      <c r="M18" s="6" t="b">
        <f>NOT(Table_Expenses[[#This Row],[ReceiptRequired]])</f>
        <v>0</v>
      </c>
    </row>
    <row r="19" spans="2:13" x14ac:dyDescent="0.25">
      <c r="B19" s="55" t="str">
        <f>Table_Expenses[[#This Row],[Class]]&amp;"-"&amp;Table_Expenses[[#This Row],[Expenses]]</f>
        <v>Trans-Train</v>
      </c>
      <c r="C19" s="55">
        <v>14</v>
      </c>
      <c r="D19" s="6" t="s">
        <v>1211</v>
      </c>
      <c r="E19" s="6" t="s">
        <v>1201</v>
      </c>
      <c r="F19" s="6" t="s">
        <v>13</v>
      </c>
      <c r="G19" s="6" t="str">
        <f>VLOOKUP(Table_Expenses[[#This Row],[Summary Pot '#]],Table_SummaryPots[],MATCH(Table_SummaryPots[[#Headers],[Summary Pots]],Table_SummaryPots[#Headers],0),FALSE)</f>
        <v>Transportation &amp; Accommodation</v>
      </c>
      <c r="H19" s="6" t="s">
        <v>1198</v>
      </c>
      <c r="I19" s="6" t="b">
        <v>0</v>
      </c>
      <c r="J19" s="6" t="b">
        <v>1</v>
      </c>
      <c r="K19" s="6" t="b">
        <v>1</v>
      </c>
      <c r="L19" s="6" t="b">
        <f>IF(Table_Expenses[[#This Row],[Receipt or Mileage]]="Receipt",TRUE,FALSE)</f>
        <v>1</v>
      </c>
      <c r="M19" s="6" t="b">
        <f>NOT(Table_Expenses[[#This Row],[ReceiptRequired]])</f>
        <v>0</v>
      </c>
    </row>
    <row r="20" spans="2:13" x14ac:dyDescent="0.25">
      <c r="B20" s="55" t="str">
        <f>Table_Expenses[[#This Row],[Class]]&amp;"-"&amp;Table_Expenses[[#This Row],[Expenses]]</f>
        <v>Trans-Other</v>
      </c>
      <c r="C20" s="55">
        <v>15</v>
      </c>
      <c r="D20" s="6" t="s">
        <v>1115</v>
      </c>
      <c r="E20" s="6" t="s">
        <v>1201</v>
      </c>
      <c r="F20" s="6" t="s">
        <v>13</v>
      </c>
      <c r="G20" s="6" t="str">
        <f>VLOOKUP(Table_Expenses[[#This Row],[Summary Pot '#]],Table_SummaryPots[],MATCH(Table_SummaryPots[[#Headers],[Summary Pots]],Table_SummaryPots[#Headers],0),FALSE)</f>
        <v>Transportation &amp; Accommodation</v>
      </c>
      <c r="H20" s="6" t="s">
        <v>1198</v>
      </c>
      <c r="I20" s="6" t="b">
        <v>1</v>
      </c>
      <c r="J20" s="6" t="b">
        <v>0</v>
      </c>
      <c r="K20" s="6" t="b">
        <v>0</v>
      </c>
      <c r="L20" s="6" t="b">
        <f>IF(Table_Expenses[[#This Row],[Receipt or Mileage]]="Receipt",TRUE,FALSE)</f>
        <v>1</v>
      </c>
      <c r="M20" s="6" t="b">
        <f>NOT(Table_Expenses[[#This Row],[ReceiptRequired]])</f>
        <v>0</v>
      </c>
    </row>
    <row r="21" spans="2:13" x14ac:dyDescent="0.25">
      <c r="B21" s="55" t="str">
        <f>Table_Expenses[[#This Row],[Class]]&amp;"-"&amp;Table_Expenses[[#This Row],[Expenses]]</f>
        <v>Reg-Conference</v>
      </c>
      <c r="C21" s="55">
        <v>16</v>
      </c>
      <c r="D21" s="6" t="s">
        <v>1102</v>
      </c>
      <c r="E21" s="6" t="s">
        <v>1212</v>
      </c>
      <c r="F21" s="6" t="s">
        <v>1213</v>
      </c>
      <c r="G21" s="6" t="str">
        <f>VLOOKUP(Table_Expenses[[#This Row],[Summary Pot '#]],Table_SummaryPots[],MATCH(Table_SummaryPots[[#Headers],[Summary Pots]],Table_SummaryPots[#Headers],0),FALSE)</f>
        <v>Registration</v>
      </c>
      <c r="H21" s="6" t="s">
        <v>1198</v>
      </c>
      <c r="I21" s="6" t="b">
        <v>0</v>
      </c>
      <c r="J21" s="6" t="b">
        <v>0</v>
      </c>
      <c r="K21" s="6" t="b">
        <v>0</v>
      </c>
      <c r="L21" s="6" t="b">
        <f>IF(Table_Expenses[[#This Row],[Receipt or Mileage]]="Receipt",TRUE,FALSE)</f>
        <v>1</v>
      </c>
      <c r="M21" s="6" t="b">
        <f>NOT(Table_Expenses[[#This Row],[ReceiptRequired]])</f>
        <v>0</v>
      </c>
    </row>
    <row r="22" spans="2:13" x14ac:dyDescent="0.25">
      <c r="B22" s="56" t="str">
        <f>Table_Expenses[[#This Row],[Class]]&amp;"-"&amp;Table_Expenses[[#This Row],[Expenses]]</f>
        <v>Reg-Course</v>
      </c>
      <c r="C22" s="56">
        <v>17</v>
      </c>
      <c r="D22" s="6" t="s">
        <v>1214</v>
      </c>
      <c r="E22" s="6" t="s">
        <v>1212</v>
      </c>
      <c r="F22" s="6" t="s">
        <v>1213</v>
      </c>
      <c r="G22" s="6" t="str">
        <f>VLOOKUP(Table_Expenses[[#This Row],[Summary Pot '#]],Table_SummaryPots[],MATCH(Table_SummaryPots[[#Headers],[Summary Pots]],Table_SummaryPots[#Headers],0),FALSE)</f>
        <v>Registration</v>
      </c>
      <c r="H22" s="6" t="s">
        <v>1198</v>
      </c>
      <c r="I22" s="6" t="b">
        <v>0</v>
      </c>
      <c r="J22" s="6" t="b">
        <v>0</v>
      </c>
      <c r="K22" s="6" t="b">
        <v>0</v>
      </c>
      <c r="L22" s="6" t="b">
        <f>IF(Table_Expenses[[#This Row],[Receipt or Mileage]]="Receipt",TRUE,FALSE)</f>
        <v>1</v>
      </c>
      <c r="M22" s="6" t="b">
        <f>NOT(Table_Expenses[[#This Row],[ReceiptRequired]])</f>
        <v>0</v>
      </c>
    </row>
    <row r="23" spans="2:13" x14ac:dyDescent="0.25">
      <c r="B23" s="56" t="str">
        <f>Table_Expenses[[#This Row],[Class]]&amp;"-"&amp;Table_Expenses[[#This Row],[Expenses]]</f>
        <v>Reg-Other</v>
      </c>
      <c r="C23" s="56">
        <v>18</v>
      </c>
      <c r="D23" s="6" t="s">
        <v>1115</v>
      </c>
      <c r="E23" s="6" t="s">
        <v>1212</v>
      </c>
      <c r="F23" s="6" t="s">
        <v>1213</v>
      </c>
      <c r="G23" s="6" t="str">
        <f>VLOOKUP(Table_Expenses[[#This Row],[Summary Pot '#]],Table_SummaryPots[],MATCH(Table_SummaryPots[[#Headers],[Summary Pots]],Table_SummaryPots[#Headers],0),FALSE)</f>
        <v>Registration</v>
      </c>
      <c r="H23" s="6" t="s">
        <v>1198</v>
      </c>
      <c r="I23" s="6" t="b">
        <v>1</v>
      </c>
      <c r="J23" s="6" t="b">
        <v>0</v>
      </c>
      <c r="K23" s="6" t="b">
        <v>0</v>
      </c>
      <c r="L23" s="6" t="b">
        <f>IF(Table_Expenses[[#This Row],[Receipt or Mileage]]="Receipt",TRUE,FALSE)</f>
        <v>1</v>
      </c>
      <c r="M23" s="6" t="b">
        <f>NOT(Table_Expenses[[#This Row],[ReceiptRequired]])</f>
        <v>0</v>
      </c>
    </row>
    <row r="24" spans="2:13" x14ac:dyDescent="0.25">
      <c r="B24" s="56" t="str">
        <f>Table_Expenses[[#This Row],[Class]]&amp;"-"&amp;Table_Expenses[[#This Row],[Expenses]]</f>
        <v>Meals-Groceries</v>
      </c>
      <c r="C24" s="55">
        <v>19</v>
      </c>
      <c r="D24" s="6" t="s">
        <v>1215</v>
      </c>
      <c r="E24" s="6" t="s">
        <v>1216</v>
      </c>
      <c r="F24" s="6" t="s">
        <v>1217</v>
      </c>
      <c r="G24" s="20" t="str">
        <f>VLOOKUP(Table_Expenses[[#This Row],[Summary Pot '#]],Table_SummaryPots[],MATCH(Table_SummaryPots[[#Headers],[Summary Pots]],Table_SummaryPots[#Headers],0),FALSE)</f>
        <v>Meals &amp; Groceries</v>
      </c>
      <c r="H24" s="6" t="s">
        <v>1198</v>
      </c>
      <c r="I24" s="6" t="b">
        <v>0</v>
      </c>
      <c r="J24" s="6" t="b">
        <v>0</v>
      </c>
      <c r="K24" s="6" t="b">
        <v>0</v>
      </c>
      <c r="L24" s="20" t="b">
        <f>IF(Table_Expenses[[#This Row],[Receipt or Mileage]]="Receipt",TRUE,FALSE)</f>
        <v>1</v>
      </c>
      <c r="M24" s="20" t="b">
        <f>NOT(Table_Expenses[[#This Row],[ReceiptRequired]])</f>
        <v>0</v>
      </c>
    </row>
    <row r="25" spans="2:13" x14ac:dyDescent="0.25">
      <c r="B25" s="56" t="str">
        <f>Table_Expenses[[#This Row],[Class]]&amp;"-"&amp;Table_Expenses[[#This Row],[Expenses]]</f>
        <v>Meals-Other</v>
      </c>
      <c r="C25" s="55">
        <v>20</v>
      </c>
      <c r="D25" s="6" t="s">
        <v>1115</v>
      </c>
      <c r="E25" s="6" t="s">
        <v>1216</v>
      </c>
      <c r="F25" s="6" t="s">
        <v>1217</v>
      </c>
      <c r="G25" s="20" t="str">
        <f>VLOOKUP(Table_Expenses[[#This Row],[Summary Pot '#]],Table_SummaryPots[],MATCH(Table_SummaryPots[[#Headers],[Summary Pots]],Table_SummaryPots[#Headers],0),FALSE)</f>
        <v>Meals &amp; Groceries</v>
      </c>
      <c r="H25" s="6" t="s">
        <v>1198</v>
      </c>
      <c r="I25" s="6" t="b">
        <v>1</v>
      </c>
      <c r="J25" s="6" t="b">
        <v>0</v>
      </c>
      <c r="K25" s="6" t="b">
        <v>0</v>
      </c>
      <c r="L25" s="20" t="b">
        <f>IF(Table_Expenses[[#This Row],[Receipt or Mileage]]="Receipt",TRUE,FALSE)</f>
        <v>1</v>
      </c>
      <c r="M25" s="20" t="b">
        <f>NOT(Table_Expenses[[#This Row],[ReceiptRequired]])</f>
        <v>0</v>
      </c>
    </row>
    <row r="28" spans="2:13" x14ac:dyDescent="0.25">
      <c r="B28" s="30" t="s">
        <v>1218</v>
      </c>
      <c r="C28" s="30" t="s">
        <v>1219</v>
      </c>
      <c r="D28" s="30" t="s">
        <v>1220</v>
      </c>
      <c r="E28" s="30"/>
      <c r="H28" s="30"/>
    </row>
    <row r="29" spans="2:13" x14ac:dyDescent="0.25">
      <c r="B29" s="30" t="s">
        <v>1217</v>
      </c>
      <c r="C29" s="30" t="s">
        <v>1221</v>
      </c>
      <c r="D29" s="85">
        <f ca="1">Total_Meals</f>
        <v>0</v>
      </c>
      <c r="E29" s="30"/>
      <c r="H29" s="30"/>
    </row>
    <row r="30" spans="2:13" x14ac:dyDescent="0.25">
      <c r="B30" s="30" t="s">
        <v>13</v>
      </c>
      <c r="C30" s="30" t="s">
        <v>1222</v>
      </c>
      <c r="D30" s="85">
        <f ca="1">Total_TransAccomm</f>
        <v>680.18000000000006</v>
      </c>
      <c r="E30" s="30"/>
      <c r="H30" s="30"/>
    </row>
    <row r="31" spans="2:13" x14ac:dyDescent="0.25">
      <c r="B31" s="30" t="s">
        <v>1213</v>
      </c>
      <c r="C31" s="30" t="s">
        <v>1223</v>
      </c>
      <c r="D31" s="85">
        <f ca="1">Total_Registration</f>
        <v>0</v>
      </c>
      <c r="E31" s="30"/>
      <c r="H31" s="30"/>
    </row>
    <row r="32" spans="2:13" x14ac:dyDescent="0.25">
      <c r="B32" s="30"/>
      <c r="D32" s="30"/>
      <c r="E32" s="30"/>
      <c r="H32" s="30"/>
    </row>
    <row r="33" spans="2:6" x14ac:dyDescent="0.25">
      <c r="B33" s="30"/>
      <c r="C33" s="30" t="s">
        <v>1224</v>
      </c>
      <c r="D33" s="85">
        <f ca="1">SUM($D$30,$D$31,$D$29-'Travel Expense Summary'!$Z$23)</f>
        <v>680.18000000000006</v>
      </c>
      <c r="E33" s="30"/>
    </row>
    <row r="34" spans="2:6" x14ac:dyDescent="0.25">
      <c r="B34" s="30"/>
      <c r="C34" s="30" t="s">
        <v>1225</v>
      </c>
      <c r="D34" s="30" t="b">
        <f ca="1">$D$33=Total_Other</f>
        <v>1</v>
      </c>
      <c r="E34" s="30"/>
    </row>
    <row r="35" spans="2:6" s="30" customFormat="1" x14ac:dyDescent="0.25"/>
    <row r="37" spans="2:6" x14ac:dyDescent="0.25">
      <c r="B37" s="30" t="s">
        <v>1226</v>
      </c>
      <c r="D37" s="30"/>
      <c r="E37" s="30"/>
    </row>
    <row r="38" spans="2:6" x14ac:dyDescent="0.25">
      <c r="B38" s="30" t="s">
        <v>1227</v>
      </c>
      <c r="C38" s="30" t="s">
        <v>1228</v>
      </c>
      <c r="D38" s="30" t="s">
        <v>1229</v>
      </c>
      <c r="E38" s="30" t="s">
        <v>1230</v>
      </c>
      <c r="F38" s="30" t="s">
        <v>1231</v>
      </c>
    </row>
    <row r="39" spans="2:6" x14ac:dyDescent="0.25">
      <c r="B39" s="30">
        <v>1</v>
      </c>
      <c r="C39" s="30" t="b">
        <f>IFERROR(VLOOKUP(INDEX(Other_ExpenseTypeArray,$B39,1),Table_Expenses[],MATCH(Table_Expenses[[#Headers],[ReceiptRequired]],Table_Expenses[#Headers],0),FALSE)=FALSE,FALSE)</f>
        <v>0</v>
      </c>
      <c r="D39" s="30" t="b">
        <f>IFERROR(VLOOKUP(INDEX(Other_ExpenseTypeArray,$B39,1),Table_Expenses[],MATCH(Table_Expenses[[#Headers],[KMRequired]],Table_Expenses[#Headers],0),FALSE)=FALSE,FALSE)</f>
        <v>1</v>
      </c>
      <c r="E3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3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$Y$27,</v>
      </c>
    </row>
    <row r="40" spans="2:6" x14ac:dyDescent="0.25">
      <c r="B40" s="30">
        <v>2</v>
      </c>
      <c r="C40" s="30" t="b">
        <f>IFERROR(VLOOKUP(INDEX(Other_ExpenseTypeArray,$B40,1),Table_Expenses[],MATCH(Table_Expenses[[#Headers],[ReceiptRequired]],Table_Expenses[#Headers],0),FALSE)=FALSE,FALSE)</f>
        <v>0</v>
      </c>
      <c r="D40" s="30" t="b">
        <f>IFERROR(VLOOKUP(INDEX(Other_ExpenseTypeArray,$B40,1),Table_Expenses[],MATCH(Table_Expenses[[#Headers],[KMRequired]],Table_Expenses[#Headers],0),FALSE)=FALSE,FALSE)</f>
        <v>1</v>
      </c>
      <c r="E40"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0"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$Y$28,</v>
      </c>
    </row>
    <row r="41" spans="2:6" x14ac:dyDescent="0.25">
      <c r="B41" s="30">
        <v>3</v>
      </c>
      <c r="C41" s="30" t="b">
        <f>IFERROR(VLOOKUP(INDEX(Other_ExpenseTypeArray,$B41,1),Table_Expenses[],MATCH(Table_Expenses[[#Headers],[ReceiptRequired]],Table_Expenses[#Headers],0),FALSE)=FALSE,FALSE)</f>
        <v>1</v>
      </c>
      <c r="D41" s="30" t="b">
        <f>IFERROR(VLOOKUP(INDEX(Other_ExpenseTypeArray,$B41,1),Table_Expenses[],MATCH(Table_Expenses[[#Headers],[KMRequired]],Table_Expenses[#Headers],0),FALSE)=FALSE,FALSE)</f>
        <v>0</v>
      </c>
      <c r="E41"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$X$29,</v>
      </c>
      <c r="F41"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2" spans="2:6" x14ac:dyDescent="0.25">
      <c r="B42" s="30">
        <v>4</v>
      </c>
      <c r="C42" s="30" t="b">
        <f>IFERROR(VLOOKUP(INDEX(Other_ExpenseTypeArray,$B42,1),Table_Expenses[],MATCH(Table_Expenses[[#Headers],[ReceiptRequired]],Table_Expenses[#Headers],0),FALSE)=FALSE,FALSE)</f>
        <v>0</v>
      </c>
      <c r="D42" s="30" t="b">
        <f>IFERROR(VLOOKUP(INDEX(Other_ExpenseTypeArray,$B42,1),Table_Expenses[],MATCH(Table_Expenses[[#Headers],[KMRequired]],Table_Expenses[#Headers],0),FALSE)=FALSE,FALSE)</f>
        <v>1</v>
      </c>
      <c r="E42"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2"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$Y$30,</v>
      </c>
    </row>
    <row r="43" spans="2:6" x14ac:dyDescent="0.25">
      <c r="B43" s="30">
        <v>5</v>
      </c>
      <c r="C43" s="30" t="b">
        <f>IFERROR(VLOOKUP(INDEX(Other_ExpenseTypeArray,$B43,1),Table_Expenses[],MATCH(Table_Expenses[[#Headers],[ReceiptRequired]],Table_Expenses[#Headers],0),FALSE)=FALSE,FALSE)</f>
        <v>0</v>
      </c>
      <c r="D43" s="30" t="b">
        <f>IFERROR(VLOOKUP(INDEX(Other_ExpenseTypeArray,$B43,1),Table_Expenses[],MATCH(Table_Expenses[[#Headers],[KMRequired]],Table_Expenses[#Headers],0),FALSE)=FALSE,FALSE)</f>
        <v>0</v>
      </c>
      <c r="E43"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3"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4" spans="2:6" x14ac:dyDescent="0.25">
      <c r="B44" s="30">
        <v>6</v>
      </c>
      <c r="C44" s="30" t="b">
        <f>IFERROR(VLOOKUP(INDEX(Other_ExpenseTypeArray,$B44,1),Table_Expenses[],MATCH(Table_Expenses[[#Headers],[ReceiptRequired]],Table_Expenses[#Headers],0),FALSE)=FALSE,FALSE)</f>
        <v>0</v>
      </c>
      <c r="D44" s="30" t="b">
        <f>IFERROR(VLOOKUP(INDEX(Other_ExpenseTypeArray,$B44,1),Table_Expenses[],MATCH(Table_Expenses[[#Headers],[KMRequired]],Table_Expenses[#Headers],0),FALSE)=FALSE,FALSE)</f>
        <v>0</v>
      </c>
      <c r="E44"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4"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5" spans="2:6" x14ac:dyDescent="0.25">
      <c r="B45" s="30">
        <v>7</v>
      </c>
      <c r="C45" s="30" t="b">
        <f>IFERROR(VLOOKUP(INDEX(Other_ExpenseTypeArray,$B45,1),Table_Expenses[],MATCH(Table_Expenses[[#Headers],[ReceiptRequired]],Table_Expenses[#Headers],0),FALSE)=FALSE,FALSE)</f>
        <v>0</v>
      </c>
      <c r="D45" s="30" t="b">
        <f>IFERROR(VLOOKUP(INDEX(Other_ExpenseTypeArray,$B45,1),Table_Expenses[],MATCH(Table_Expenses[[#Headers],[KMRequired]],Table_Expenses[#Headers],0),FALSE)=FALSE,FALSE)</f>
        <v>0</v>
      </c>
      <c r="E45"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5"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6" spans="2:6" x14ac:dyDescent="0.25">
      <c r="B46" s="30">
        <v>8</v>
      </c>
      <c r="C46" s="30" t="b">
        <f>IFERROR(VLOOKUP(INDEX(Other_ExpenseTypeArray,$B46,1),Table_Expenses[],MATCH(Table_Expenses[[#Headers],[ReceiptRequired]],Table_Expenses[#Headers],0),FALSE)=FALSE,FALSE)</f>
        <v>0</v>
      </c>
      <c r="D46" s="30" t="b">
        <f>IFERROR(VLOOKUP(INDEX(Other_ExpenseTypeArray,$B46,1),Table_Expenses[],MATCH(Table_Expenses[[#Headers],[KMRequired]],Table_Expenses[#Headers],0),FALSE)=FALSE,FALSE)</f>
        <v>0</v>
      </c>
      <c r="E46"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6"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7" spans="2:6" x14ac:dyDescent="0.25">
      <c r="B47" s="30">
        <v>9</v>
      </c>
      <c r="C47" s="30" t="b">
        <f>IFERROR(VLOOKUP(INDEX(Other_ExpenseTypeArray,$B47,1),Table_Expenses[],MATCH(Table_Expenses[[#Headers],[ReceiptRequired]],Table_Expenses[#Headers],0),FALSE)=FALSE,FALSE)</f>
        <v>0</v>
      </c>
      <c r="D47" s="30" t="b">
        <f>IFERROR(VLOOKUP(INDEX(Other_ExpenseTypeArray,$B47,1),Table_Expenses[],MATCH(Table_Expenses[[#Headers],[KMRequired]],Table_Expenses[#Headers],0),FALSE)=FALSE,FALSE)</f>
        <v>0</v>
      </c>
      <c r="E47"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7"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8" spans="2:6" x14ac:dyDescent="0.25">
      <c r="B48" s="30">
        <v>10</v>
      </c>
      <c r="C48" s="30" t="b">
        <f>IFERROR(VLOOKUP(INDEX(Other_ExpenseTypeArray,$B48,1),Table_Expenses[],MATCH(Table_Expenses[[#Headers],[ReceiptRequired]],Table_Expenses[#Headers],0),FALSE)=FALSE,FALSE)</f>
        <v>0</v>
      </c>
      <c r="D48" s="30" t="b">
        <f>IFERROR(VLOOKUP(INDEX(Other_ExpenseTypeArray,$B48,1),Table_Expenses[],MATCH(Table_Expenses[[#Headers],[KMRequired]],Table_Expenses[#Headers],0),FALSE)=FALSE,FALSE)</f>
        <v>0</v>
      </c>
      <c r="E48"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8"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9" spans="2:6" x14ac:dyDescent="0.25">
      <c r="B49" s="30">
        <v>11</v>
      </c>
      <c r="C49" s="30" t="b">
        <f>IFERROR(VLOOKUP(INDEX(Other_ExpenseTypeArray,$B49,1),Table_Expenses[],MATCH(Table_Expenses[[#Headers],[ReceiptRequired]],Table_Expenses[#Headers],0),FALSE)=FALSE,FALSE)</f>
        <v>0</v>
      </c>
      <c r="D49" s="30" t="b">
        <f>IFERROR(VLOOKUP(INDEX(Other_ExpenseTypeArray,$B49,1),Table_Expenses[],MATCH(Table_Expenses[[#Headers],[KMRequired]],Table_Expenses[#Headers],0),FALSE)=FALSE,FALSE)</f>
        <v>0</v>
      </c>
      <c r="E4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51" spans="2:6" x14ac:dyDescent="0.25">
      <c r="B51" s="30"/>
      <c r="D51" s="30"/>
      <c r="E51" s="130" t="s">
        <v>1232</v>
      </c>
      <c r="F51" s="130" t="s">
        <v>1233</v>
      </c>
    </row>
    <row r="52" spans="2:6" x14ac:dyDescent="0.25">
      <c r="B52" s="30"/>
      <c r="D52" s="30"/>
      <c r="E52" s="4" t="str">
        <f ca="1">CONCATENATE(E39,E40,E41,E42,E43,E44,E45,E46,E47,E48,E49)</f>
        <v>$X$29,</v>
      </c>
      <c r="F52" s="4" t="str">
        <f ca="1">CONCATENATE(F39,F40,F41,F42,F43,F44,F45,F46,F47,F48,F49)</f>
        <v>$Y$27,$Y$28,$Y$30,</v>
      </c>
    </row>
  </sheetData>
  <sheetProtection password="EDC4" sheet="1" objects="1" scenarios="1" selectLockedCells="1" selectUnlockedCells="1"/>
  <mergeCells count="1">
    <mergeCell ref="B1:H1"/>
  </mergeCells>
  <pageMargins left="0.7" right="0.7" top="0.75" bottom="0.75" header="0.3" footer="0.3"/>
  <tableParts count="3">
    <tablePart r:id="rId1"/>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J43"/>
  <sheetViews>
    <sheetView topLeftCell="A4" workbookViewId="0">
      <selection activeCell="A4" sqref="A4"/>
    </sheetView>
  </sheetViews>
  <sheetFormatPr defaultRowHeight="15" x14ac:dyDescent="0.25"/>
  <cols>
    <col min="2" max="2" width="13" customWidth="1"/>
    <col min="3" max="3" width="34.5703125" bestFit="1" customWidth="1"/>
    <col min="4" max="4" width="12.28515625" style="30" bestFit="1" customWidth="1"/>
    <col min="5" max="5" width="88.7109375" bestFit="1" customWidth="1"/>
    <col min="6" max="6" width="28.7109375" bestFit="1" customWidth="1"/>
  </cols>
  <sheetData>
    <row r="1" spans="2:5" ht="21" x14ac:dyDescent="0.35">
      <c r="B1" s="357" t="s">
        <v>1234</v>
      </c>
      <c r="C1" s="358"/>
      <c r="D1" s="358"/>
      <c r="E1" s="358"/>
    </row>
    <row r="2" spans="2:5" s="30" customFormat="1" x14ac:dyDescent="0.25"/>
    <row r="3" spans="2:5" s="30" customFormat="1" x14ac:dyDescent="0.25">
      <c r="B3" s="30" t="s">
        <v>1235</v>
      </c>
    </row>
    <row r="5" spans="2:5" x14ac:dyDescent="0.25">
      <c r="B5" s="7" t="s">
        <v>190</v>
      </c>
      <c r="C5" s="7" t="s">
        <v>35</v>
      </c>
      <c r="D5" s="7" t="s">
        <v>1236</v>
      </c>
      <c r="E5" s="7" t="s">
        <v>1237</v>
      </c>
    </row>
    <row r="6" spans="2:5" s="30" customFormat="1" x14ac:dyDescent="0.25">
      <c r="B6" s="133">
        <v>0</v>
      </c>
      <c r="C6" s="7" t="s">
        <v>1238</v>
      </c>
      <c r="D6" s="7" t="b">
        <v>0</v>
      </c>
      <c r="E6" s="131" t="str">
        <f>CONCATENATE(IF(Table_SectionNames[[#This Row],[Include '#?]]=FALSE,"",TEXT(Table_SectionNames[[#This Row],[Section '#]],"#. ")),Table_SectionNames[[#This Row],[Name]])</f>
        <v>Sheet Errors</v>
      </c>
    </row>
    <row r="7" spans="2:5" x14ac:dyDescent="0.25">
      <c r="B7" s="133">
        <v>1</v>
      </c>
      <c r="C7" s="7" t="s">
        <v>1239</v>
      </c>
      <c r="D7" s="7" t="b">
        <v>1</v>
      </c>
      <c r="E7" s="7" t="str">
        <f>CONCATENATE(IF(Table_SectionNames[[#This Row],[Include '#?]]=FALSE,"",TEXT(Table_SectionNames[[#This Row],[Section '#]],"#. ")),Table_SectionNames[[#This Row],[Name]])</f>
        <v>1. Payee Details</v>
      </c>
    </row>
    <row r="8" spans="2:5" x14ac:dyDescent="0.25">
      <c r="B8" s="133">
        <v>2</v>
      </c>
      <c r="C8" s="7" t="s">
        <v>1240</v>
      </c>
      <c r="D8" s="7" t="b">
        <v>1</v>
      </c>
      <c r="E8" s="7" t="str">
        <f>CONCATENATE(IF(Table_SectionNames[[#This Row],[Include '#?]]=FALSE,"",TEXT(Table_SectionNames[[#This Row],[Section '#]],"#. ")),Table_SectionNames[[#This Row],[Name]])</f>
        <v>2. Travel Details</v>
      </c>
    </row>
    <row r="9" spans="2:5" x14ac:dyDescent="0.25">
      <c r="B9" s="133">
        <v>3</v>
      </c>
      <c r="C9" s="7" t="s">
        <v>1241</v>
      </c>
      <c r="D9" s="7" t="b">
        <v>1</v>
      </c>
      <c r="E9" s="7" t="str">
        <f>CONCATENATE(IF(Table_SectionNames[[#This Row],[Include '#?]]=FALSE,"",TEXT(Table_SectionNames[[#This Row],[Section '#]],"#. ")),Table_SectionNames[[#This Row],[Name]])</f>
        <v>3. Claim Details</v>
      </c>
    </row>
    <row r="10" spans="2:5" x14ac:dyDescent="0.25">
      <c r="B10" s="133">
        <v>4</v>
      </c>
      <c r="C10" s="7" t="s">
        <v>1242</v>
      </c>
      <c r="D10" s="7" t="b">
        <v>1</v>
      </c>
      <c r="E10" s="7" t="str">
        <f>CONCATENATE(IF(Table_SectionNames[[#This Row],[Include '#?]]=FALSE,"",TEXT(Table_SectionNames[[#This Row],[Section '#]],"#. ")),Table_SectionNames[[#This Row],[Name]])</f>
        <v>4. Travel Particulars</v>
      </c>
    </row>
    <row r="11" spans="2:5" x14ac:dyDescent="0.25">
      <c r="B11" s="133">
        <v>5</v>
      </c>
      <c r="C11" s="7" t="s">
        <v>1243</v>
      </c>
      <c r="D11" s="7" t="b">
        <v>1</v>
      </c>
      <c r="E11" s="7" t="str">
        <f>CONCATENATE(IF(Table_SectionNames[[#This Row],[Include '#?]]=FALSE,"",TEXT(Table_SectionNames[[#This Row],[Section '#]],"#. ")),Table_SectionNames[[#This Row],[Name]])</f>
        <v>5. Contact (if different than 'Payee')</v>
      </c>
    </row>
    <row r="12" spans="2:5" x14ac:dyDescent="0.25">
      <c r="B12" s="133">
        <v>6</v>
      </c>
      <c r="C12" s="7" t="s">
        <v>1216</v>
      </c>
      <c r="D12" s="7" t="b">
        <v>1</v>
      </c>
      <c r="E12" s="7" t="str">
        <f>CONCATENATE(IF(Table_SectionNames[[#This Row],[Include '#?]]=FALSE,"",TEXT(Table_SectionNames[[#This Row],[Section '#]],"#. ")),Table_SectionNames[[#This Row],[Name]])</f>
        <v>6. Meals</v>
      </c>
    </row>
    <row r="13" spans="2:5" x14ac:dyDescent="0.25">
      <c r="B13" s="133">
        <v>7</v>
      </c>
      <c r="C13" s="7" t="s">
        <v>1244</v>
      </c>
      <c r="D13" s="7" t="b">
        <v>1</v>
      </c>
      <c r="E13" s="7" t="str">
        <f>CONCATENATE(IF(Table_SectionNames[[#This Row],[Include '#?]]=FALSE,"",TEXT(Table_SectionNames[[#This Row],[Section '#]],"#. ")),Table_SectionNames[[#This Row],[Name]])</f>
        <v>7. Other Expenses</v>
      </c>
    </row>
    <row r="14" spans="2:5" x14ac:dyDescent="0.25">
      <c r="B14" s="133">
        <v>8</v>
      </c>
      <c r="C14" s="7" t="s">
        <v>1245</v>
      </c>
      <c r="D14" s="7" t="b">
        <v>1</v>
      </c>
      <c r="E14" s="7" t="str">
        <f>CONCATENATE(IF(Table_SectionNames[[#This Row],[Include '#?]]=FALSE,"",TEXT(Table_SectionNames[[#This Row],[Section '#]],"#. ")),Table_SectionNames[[#This Row],[Name]])</f>
        <v>8. Funding Maximum (if applicable)</v>
      </c>
    </row>
    <row r="15" spans="2:5" x14ac:dyDescent="0.25">
      <c r="B15" s="133">
        <v>9</v>
      </c>
      <c r="C15" s="7" t="s">
        <v>1246</v>
      </c>
      <c r="D15" s="7" t="b">
        <v>1</v>
      </c>
      <c r="E15" s="7" t="str">
        <f>CONCATENATE(IF(Table_SectionNames[[#This Row],[Include '#?]]=FALSE,"",TEXT(Table_SectionNames[[#This Row],[Section '#]],"#. ")),Table_SectionNames[[#This Row],[Name]])</f>
        <v>9. Expense Summary</v>
      </c>
    </row>
    <row r="16" spans="2:5" x14ac:dyDescent="0.25">
      <c r="B16" s="133">
        <v>10</v>
      </c>
      <c r="C16" s="7" t="s">
        <v>1247</v>
      </c>
      <c r="D16" s="7" t="b">
        <v>1</v>
      </c>
      <c r="E16" s="7" t="str">
        <f>CONCATENATE(IF(Table_SectionNames[[#This Row],[Include '#?]]=FALSE,"",TEXT(Table_SectionNames[[#This Row],[Section '#]],"#. ")),Table_SectionNames[[#This Row],[Name]])</f>
        <v>10. Claim Allocation</v>
      </c>
    </row>
    <row r="17" spans="2:9" x14ac:dyDescent="0.25">
      <c r="B17" s="133">
        <v>11</v>
      </c>
      <c r="C17" s="7" t="s">
        <v>1248</v>
      </c>
      <c r="D17" s="7" t="b">
        <v>1</v>
      </c>
      <c r="E17" s="7" t="str">
        <f>CONCATENATE(IF(Table_SectionNames[[#This Row],[Include '#?]]=FALSE,"",TEXT(Table_SectionNames[[#This Row],[Section '#]],"#. ")),Table_SectionNames[[#This Row],[Name]])</f>
        <v>11. Authorization</v>
      </c>
      <c r="F17" s="30"/>
      <c r="G17" s="30"/>
      <c r="H17" s="30"/>
      <c r="I17" s="30"/>
    </row>
    <row r="18" spans="2:9" x14ac:dyDescent="0.25">
      <c r="B18" s="133">
        <v>12</v>
      </c>
      <c r="C18" s="7" t="s">
        <v>1249</v>
      </c>
      <c r="D18" s="7" t="b">
        <v>0</v>
      </c>
      <c r="E18" s="7" t="str">
        <f>CONCATENATE(IF(Table_SectionNames[[#This Row],[Include '#?]]=FALSE,"",TEXT(Table_SectionNames[[#This Row],[Section '#]],"#. ")),Table_SectionNames[[#This Row],[Name]])</f>
        <v>Claim Status</v>
      </c>
      <c r="F18" s="30"/>
      <c r="G18" s="30"/>
      <c r="H18" s="30"/>
      <c r="I18" s="30"/>
    </row>
    <row r="19" spans="2:9" x14ac:dyDescent="0.25">
      <c r="B19" s="133">
        <v>13</v>
      </c>
      <c r="C19" s="7" t="s">
        <v>1250</v>
      </c>
      <c r="D19" s="7" t="b">
        <v>0</v>
      </c>
      <c r="E19" s="7" t="str">
        <f>CONCATENATE(IF(Table_SectionNames[[#This Row],[Include '#?]]=FALSE,"",TEXT(Table_SectionNames[[#This Row],[Section '#]],"#. ")),Table_SectionNames[[#This Row],[Name]])</f>
        <v>HST</v>
      </c>
      <c r="F19" s="30"/>
      <c r="G19" s="30"/>
      <c r="H19" s="30"/>
      <c r="I19" s="30"/>
    </row>
    <row r="20" spans="2:9" s="30" customFormat="1" x14ac:dyDescent="0.25">
      <c r="B20" s="133">
        <v>90</v>
      </c>
      <c r="C20" s="7" t="s">
        <v>1251</v>
      </c>
      <c r="D20" s="7" t="b">
        <v>0</v>
      </c>
      <c r="E20" s="131" t="str">
        <f>CONCATENATE(IF(Table_SectionNames[[#This Row],[Include '#?]]=FALSE,"",TEXT(Table_SectionNames[[#This Row],[Section '#]],"#. ")),Table_SectionNames[[#This Row],[Name]])</f>
        <v>Submission Date</v>
      </c>
    </row>
    <row r="21" spans="2:9" s="30" customFormat="1" x14ac:dyDescent="0.25">
      <c r="B21" s="133">
        <v>98</v>
      </c>
      <c r="C21" s="7" t="s">
        <v>1252</v>
      </c>
      <c r="D21" s="7" t="b">
        <v>0</v>
      </c>
      <c r="E21" s="131" t="str">
        <f>CONCATENATE(IF(Table_SectionNames[[#This Row],[Include '#?]]=FALSE,"",TEXT(Table_SectionNames[[#This Row],[Section '#]],"#. ")),Table_SectionNames[[#This Row],[Name]])</f>
        <v>Milestone #1</v>
      </c>
    </row>
    <row r="22" spans="2:9" s="30" customFormat="1" x14ac:dyDescent="0.25">
      <c r="B22" s="133">
        <v>99</v>
      </c>
      <c r="C22" s="7" t="s">
        <v>1253</v>
      </c>
      <c r="D22" s="7" t="b">
        <v>0</v>
      </c>
      <c r="E22" s="131" t="str">
        <f>CONCATENATE(IF(Table_SectionNames[[#This Row],[Include '#?]]=FALSE,"",TEXT(Table_SectionNames[[#This Row],[Section '#]],"#. ")),Table_SectionNames[[#This Row],[Name]])</f>
        <v>Milestone #2</v>
      </c>
    </row>
    <row r="24" spans="2:9" ht="21" x14ac:dyDescent="0.35">
      <c r="B24" s="357" t="s">
        <v>1254</v>
      </c>
      <c r="C24" s="358"/>
      <c r="D24" s="358"/>
      <c r="E24" s="358"/>
      <c r="F24" s="30"/>
      <c r="G24" s="30"/>
      <c r="H24" s="30"/>
      <c r="I24" s="30"/>
    </row>
    <row r="26" spans="2:9" x14ac:dyDescent="0.25">
      <c r="B26" s="30" t="s">
        <v>1255</v>
      </c>
      <c r="C26" s="30"/>
      <c r="E26" s="30"/>
      <c r="F26" s="30"/>
      <c r="G26" s="30"/>
      <c r="H26" s="30"/>
      <c r="I26" s="30"/>
    </row>
    <row r="28" spans="2:9" x14ac:dyDescent="0.25">
      <c r="B28" s="30" t="s">
        <v>1256</v>
      </c>
      <c r="C28" s="30" t="s">
        <v>12</v>
      </c>
      <c r="D28" s="30" t="s">
        <v>190</v>
      </c>
      <c r="E28" s="30" t="s">
        <v>0</v>
      </c>
      <c r="F28" s="30" t="s">
        <v>1257</v>
      </c>
      <c r="G28" s="30" t="s">
        <v>1258</v>
      </c>
      <c r="H28" s="30"/>
      <c r="I28" s="30"/>
    </row>
    <row r="29" spans="2:9" s="30" customFormat="1" x14ac:dyDescent="0.25">
      <c r="B29" s="132" t="b">
        <f ca="1">COUNTIFS(Table_ErrorList[Error Evaluation],TRUE,Table_ErrorList[Section '#],Table_ClaimStatus[[#This Row],[Section '#]])&gt;0</f>
        <v>0</v>
      </c>
      <c r="C29" s="30" t="s">
        <v>1259</v>
      </c>
      <c r="D29" s="134">
        <v>0</v>
      </c>
      <c r="E29" s="117" t="str">
        <f>IF(Table_ClaimStatus[[#This Row],[Manual Message]]="",CONCATENATE("Section ",VLOOKUP(Table_ClaimStatus[[#This Row],[Section '#]],Table_SectionNames[],MATCH(Table_SectionNames[[#Headers],[Section Header]],Table_SectionNames[#Headers],0))," in progress"),Table_ClaimStatus[[#This Row],[Manual Message]])</f>
        <v>Sheet errors exist</v>
      </c>
      <c r="F29" s="117" t="s">
        <v>1260</v>
      </c>
      <c r="G29" s="30" t="b">
        <v>1</v>
      </c>
    </row>
    <row r="30" spans="2:9" x14ac:dyDescent="0.25">
      <c r="B30" s="30" t="b">
        <f ca="1">COUNTIFS(Table_ErrorList[Error Evaluation],TRUE,Table_ErrorList[Section '#],Table_ClaimStatus[[#This Row],[Section '#]])&gt;0</f>
        <v>0</v>
      </c>
      <c r="C30" s="30" t="s">
        <v>1261</v>
      </c>
      <c r="D30" s="134">
        <v>1</v>
      </c>
      <c r="E30" s="30" t="str">
        <f>IF(Table_ClaimStatus[[#This Row],[Manual Message]]="",CONCATENATE("Section ",VLOOKUP(Table_ClaimStatus[[#This Row],[Section '#]],Table_SectionNames[],MATCH(Table_SectionNames[[#Headers],[Section Header]],Table_SectionNames[#Headers],0))," in progress"),Table_ClaimStatus[[#This Row],[Manual Message]])</f>
        <v>Section 1. Payee Details in progress</v>
      </c>
      <c r="F30" s="30"/>
      <c r="G30" s="30" t="b">
        <v>1</v>
      </c>
      <c r="H30" s="30"/>
      <c r="I30" s="11"/>
    </row>
    <row r="31" spans="2:9" x14ac:dyDescent="0.25">
      <c r="B31" s="30" t="b">
        <f ca="1">COUNTIFS(Table_ErrorList[Error Evaluation],TRUE,Table_ErrorList[Section '#],Table_ClaimStatus[[#This Row],[Section '#]])&gt;0</f>
        <v>0</v>
      </c>
      <c r="C31" s="30" t="s">
        <v>1262</v>
      </c>
      <c r="D31" s="134">
        <v>2</v>
      </c>
      <c r="E31" s="30" t="str">
        <f>IF(Table_ClaimStatus[[#This Row],[Manual Message]]="",CONCATENATE("Section ",VLOOKUP(Table_ClaimStatus[[#This Row],[Section '#]],Table_SectionNames[],MATCH(Table_SectionNames[[#Headers],[Section Header]],Table_SectionNames[#Headers],0))," in progress"),Table_ClaimStatus[[#This Row],[Manual Message]])</f>
        <v>Section 2. Travel Details in progress</v>
      </c>
      <c r="F31" s="30"/>
      <c r="G31" s="30" t="b">
        <v>1</v>
      </c>
      <c r="H31" s="30"/>
      <c r="I31" s="30"/>
    </row>
    <row r="32" spans="2:9" x14ac:dyDescent="0.25">
      <c r="B32" s="30" t="b">
        <f ca="1">COUNTIFS(Table_ErrorList[Error Evaluation],TRUE,Table_ErrorList[Section '#],Table_ClaimStatus[[#This Row],[Section '#]])&gt;0</f>
        <v>0</v>
      </c>
      <c r="C32" s="30" t="s">
        <v>1263</v>
      </c>
      <c r="D32" s="134">
        <v>3</v>
      </c>
      <c r="E32" s="117" t="str">
        <f>IF(Table_ClaimStatus[[#This Row],[Manual Message]]="",CONCATENATE("Section ",VLOOKUP(Table_ClaimStatus[[#This Row],[Section '#]],Table_SectionNames[],MATCH(Table_SectionNames[[#Headers],[Section Header]],Table_SectionNames[#Headers],0))," in progress"),Table_ClaimStatus[[#This Row],[Manual Message]])</f>
        <v>Section 3. Claim Details in progress</v>
      </c>
      <c r="F32" s="117"/>
      <c r="G32" s="30" t="b">
        <v>1</v>
      </c>
      <c r="H32" s="30"/>
      <c r="I32" s="30"/>
    </row>
    <row r="33" spans="2:10" x14ac:dyDescent="0.25">
      <c r="B33" s="30" t="b">
        <f ca="1">COUNTIFS(Table_ErrorList[Error Evaluation],TRUE,Table_ErrorList[Section '#],Table_ClaimStatus[[#This Row],[Section '#]])&gt;0</f>
        <v>0</v>
      </c>
      <c r="C33" s="30" t="s">
        <v>1264</v>
      </c>
      <c r="D33" s="134">
        <v>4</v>
      </c>
      <c r="E33" s="117" t="str">
        <f>IF(Table_ClaimStatus[[#This Row],[Manual Message]]="",CONCATENATE("Section ",VLOOKUP(Table_ClaimStatus[[#This Row],[Section '#]],Table_SectionNames[],MATCH(Table_SectionNames[[#Headers],[Section Header]],Table_SectionNames[#Headers],0))," in progress"),Table_ClaimStatus[[#This Row],[Manual Message]])</f>
        <v>Section 4. Travel Particulars in progress</v>
      </c>
      <c r="F33" s="117"/>
      <c r="G33" s="30" t="b">
        <v>1</v>
      </c>
      <c r="H33" s="30"/>
      <c r="I33" s="30"/>
      <c r="J33" s="30"/>
    </row>
    <row r="34" spans="2:10" x14ac:dyDescent="0.25">
      <c r="B34" s="30" t="b">
        <f ca="1">COUNTIFS(Table_ErrorList[Error Evaluation],TRUE,Table_ErrorList[Section '#],Table_ClaimStatus[[#This Row],[Section '#]])&gt;0</f>
        <v>0</v>
      </c>
      <c r="C34" s="30" t="s">
        <v>1265</v>
      </c>
      <c r="D34" s="134">
        <v>5</v>
      </c>
      <c r="E34" s="117" t="str">
        <f>IF(Table_ClaimStatus[[#This Row],[Manual Message]]="",CONCATENATE("Section ",VLOOKUP(Table_ClaimStatus[[#This Row],[Section '#]],Table_SectionNames[],MATCH(Table_SectionNames[[#Headers],[Section Header]],Table_SectionNames[#Headers],0))," in progress"),Table_ClaimStatus[[#This Row],[Manual Message]])</f>
        <v>Section 5. Contact (if different than 'Payee') in progress</v>
      </c>
      <c r="F34" s="117"/>
      <c r="G34" s="30" t="b">
        <v>1</v>
      </c>
      <c r="H34" s="30"/>
      <c r="I34" s="30"/>
      <c r="J34" s="11"/>
    </row>
    <row r="35" spans="2:10" x14ac:dyDescent="0.25">
      <c r="B35" s="30" t="b">
        <f ca="1">COUNTIFS(Table_ErrorList[Error Evaluation],TRUE,Table_ErrorList[Section '#],Table_ClaimStatus[[#This Row],[Section '#]])&gt;0</f>
        <v>0</v>
      </c>
      <c r="C35" s="30" t="s">
        <v>1266</v>
      </c>
      <c r="D35" s="134">
        <v>6</v>
      </c>
      <c r="E35" s="117" t="str">
        <f>IF(Table_ClaimStatus[[#This Row],[Manual Message]]="",CONCATENATE("Section ",VLOOKUP(Table_ClaimStatus[[#This Row],[Section '#]],Table_SectionNames[],MATCH(Table_SectionNames[[#Headers],[Section Header]],Table_SectionNames[#Headers],0))," in progress"),Table_ClaimStatus[[#This Row],[Manual Message]])</f>
        <v>Section 6. Meals in progress</v>
      </c>
      <c r="F35" s="117"/>
      <c r="G35" s="30" t="b">
        <v>1</v>
      </c>
      <c r="H35" s="30"/>
      <c r="I35" s="30"/>
      <c r="J35" s="30"/>
    </row>
    <row r="36" spans="2:10" x14ac:dyDescent="0.25">
      <c r="B36" s="30" t="b">
        <f ca="1">COUNTIFS(Table_ErrorList[Error Evaluation],TRUE,Table_ErrorList[Section '#],Table_ClaimStatus[[#This Row],[Section '#]])&gt;0</f>
        <v>0</v>
      </c>
      <c r="C36" s="30" t="s">
        <v>1267</v>
      </c>
      <c r="D36" s="134">
        <v>7</v>
      </c>
      <c r="E36" s="117" t="str">
        <f>IF(Table_ClaimStatus[[#This Row],[Manual Message]]="",CONCATENATE("Section ",VLOOKUP(Table_ClaimStatus[[#This Row],[Section '#]],Table_SectionNames[],MATCH(Table_SectionNames[[#Headers],[Section Header]],Table_SectionNames[#Headers],0))," in progress"),Table_ClaimStatus[[#This Row],[Manual Message]])</f>
        <v>Section 7. Other Expenses in progress</v>
      </c>
      <c r="F36" s="117"/>
      <c r="G36" s="30" t="b">
        <v>1</v>
      </c>
      <c r="H36" s="30"/>
      <c r="I36" s="30"/>
      <c r="J36" s="30"/>
    </row>
    <row r="37" spans="2:10" s="30" customFormat="1" x14ac:dyDescent="0.25">
      <c r="B37" s="132" t="b">
        <f ca="1">COUNTIFS(Table_ErrorList[Error Evaluation],TRUE,Table_ErrorList[Section '#],Table_ClaimStatus[[#This Row],[Section '#]])&gt;0</f>
        <v>0</v>
      </c>
      <c r="C37" s="30" t="s">
        <v>1268</v>
      </c>
      <c r="D37" s="134">
        <v>90</v>
      </c>
      <c r="E37" s="117" t="str">
        <f>IF(Table_ClaimStatus[[#This Row],[Manual Message]]="",CONCATENATE("Section ",VLOOKUP(Table_ClaimStatus[[#This Row],[Section '#]],Table_SectionNames[],MATCH(Table_SectionNames[[#Headers],[Section Header]],Table_SectionNames[#Headers],0))," in progress"),Table_ClaimStatus[[#This Row],[Manual Message]])</f>
        <v>Submission Date is incomplete</v>
      </c>
      <c r="F37" s="117" t="s">
        <v>1268</v>
      </c>
      <c r="G37" s="30" t="b">
        <v>1</v>
      </c>
    </row>
    <row r="38" spans="2:10" s="30" customFormat="1" x14ac:dyDescent="0.25">
      <c r="B38" s="132" t="b">
        <f ca="1">COUNTIFS(Table_ErrorList[Error Evaluation],TRUE,Table_ErrorList[Section '#],Table_ClaimStatus[[#This Row],[Section '#]])&gt;0</f>
        <v>1</v>
      </c>
      <c r="C38" s="30" t="s">
        <v>1269</v>
      </c>
      <c r="D38" s="134">
        <v>98</v>
      </c>
      <c r="E38" s="117" t="str">
        <f>IF(Table_ClaimStatus[[#This Row],[Manual Message]]="",CONCATENATE("Section ",VLOOKUP(Table_ClaimStatus[[#This Row],[Section '#]],Table_SectionNames[],MATCH(Table_SectionNames[[#Headers],[Section Header]],Table_SectionNames[#Headers],0))," in progress"),Table_ClaimStatus[[#This Row],[Manual Message]])</f>
        <v>Ready for review</v>
      </c>
      <c r="F38" s="117" t="s">
        <v>1270</v>
      </c>
      <c r="G38" s="30" t="b">
        <v>0</v>
      </c>
    </row>
    <row r="39" spans="2:10" x14ac:dyDescent="0.25">
      <c r="B39" s="30" t="b">
        <f ca="1">COUNTIFS(Table_ErrorList[Error Evaluation],TRUE,Table_ErrorList[Section '#],Table_ClaimStatus[[#This Row],[Section '#]])&gt;0</f>
        <v>0</v>
      </c>
      <c r="C39" s="30" t="s">
        <v>1271</v>
      </c>
      <c r="D39" s="134">
        <v>8</v>
      </c>
      <c r="E39" s="117" t="str">
        <f>IF(Table_ClaimStatus[[#This Row],[Manual Message]]="",CONCATENATE("Section ",VLOOKUP(Table_ClaimStatus[[#This Row],[Section '#]],Table_SectionNames[],MATCH(Table_SectionNames[[#Headers],[Section Header]],Table_SectionNames[#Headers],0))," in progress"),Table_ClaimStatus[[#This Row],[Manual Message]])</f>
        <v>Section 8. Funding Maximum (if applicable) in progress</v>
      </c>
      <c r="F39" s="117"/>
      <c r="G39" s="30" t="b">
        <v>1</v>
      </c>
      <c r="H39" s="30"/>
      <c r="I39" s="30"/>
      <c r="J39" s="30"/>
    </row>
    <row r="40" spans="2:10" x14ac:dyDescent="0.25">
      <c r="B40" s="30" t="b">
        <f ca="1">COUNTIFS(Table_ErrorList[Error Evaluation],TRUE,Table_ErrorList[Section '#],Table_ClaimStatus[[#This Row],[Section '#]])&gt;0</f>
        <v>0</v>
      </c>
      <c r="C40" s="30" t="s">
        <v>1272</v>
      </c>
      <c r="D40" s="134">
        <v>9</v>
      </c>
      <c r="E40" s="117" t="str">
        <f>IF(Table_ClaimStatus[[#This Row],[Manual Message]]="",CONCATENATE("Section ",VLOOKUP(Table_ClaimStatus[[#This Row],[Section '#]],Table_SectionNames[],MATCH(Table_SectionNames[[#Headers],[Section Header]],Table_SectionNames[#Headers],0))," in progress"),Table_ClaimStatus[[#This Row],[Manual Message]])</f>
        <v>Section 9. Expense Summary in progress</v>
      </c>
      <c r="F40" s="117"/>
      <c r="G40" s="30" t="b">
        <v>1</v>
      </c>
      <c r="H40" s="30"/>
      <c r="I40" s="30"/>
      <c r="J40" s="30"/>
    </row>
    <row r="41" spans="2:10" x14ac:dyDescent="0.25">
      <c r="B41" s="30" t="b">
        <f ca="1">COUNTIFS(Table_ErrorList[Error Evaluation],TRUE,Table_ErrorList[Section '#],Table_ClaimStatus[[#This Row],[Section '#]])&gt;0</f>
        <v>1</v>
      </c>
      <c r="C41" s="30" t="s">
        <v>1273</v>
      </c>
      <c r="D41" s="134">
        <v>10</v>
      </c>
      <c r="E41" s="117" t="str">
        <f>IF(Table_ClaimStatus[[#This Row],[Manual Message]]="",CONCATENATE("Section ",VLOOKUP(Table_ClaimStatus[[#This Row],[Section '#]],Table_SectionNames[],MATCH(Table_SectionNames[[#Headers],[Section Header]],Table_SectionNames[#Headers],0))," in progress"),Table_ClaimStatus[[#This Row],[Manual Message]])</f>
        <v>Section 10. Claim Allocation in progress</v>
      </c>
      <c r="F41" s="117"/>
      <c r="G41" s="30" t="b">
        <v>1</v>
      </c>
      <c r="H41" s="30"/>
      <c r="I41" s="30"/>
      <c r="J41" s="30"/>
    </row>
    <row r="42" spans="2:10" x14ac:dyDescent="0.25">
      <c r="B42" s="30" t="b">
        <f ca="1">COUNTIFS(Table_ErrorList[Error Evaluation],TRUE,Table_ErrorList[Section '#],Table_ClaimStatus[[#This Row],[Section '#]])&gt;0</f>
        <v>0</v>
      </c>
      <c r="C42" s="30" t="s">
        <v>1274</v>
      </c>
      <c r="D42" s="134">
        <v>11</v>
      </c>
      <c r="E42" s="117" t="str">
        <f>IF(Table_ClaimStatus[[#This Row],[Manual Message]]="",CONCATENATE("Section ",VLOOKUP(Table_ClaimStatus[[#This Row],[Section '#]],Table_SectionNames[],MATCH(Table_SectionNames[[#Headers],[Section Header]],Table_SectionNames[#Headers],0))," in progress"),Table_ClaimStatus[[#This Row],[Manual Message]])</f>
        <v>Section 11. Authorization in progress</v>
      </c>
      <c r="F42" s="117"/>
      <c r="G42" s="30" t="b">
        <v>1</v>
      </c>
      <c r="H42" s="30"/>
      <c r="I42" s="30"/>
      <c r="J42" s="30"/>
    </row>
    <row r="43" spans="2:10" x14ac:dyDescent="0.25">
      <c r="B43" s="132" t="b">
        <f ca="1">COUNTIFS(Table_ErrorList[Error Evaluation],TRUE,Table_ErrorList[Section '#],Table_ClaimStatus[[#This Row],[Section '#]])&gt;0</f>
        <v>0</v>
      </c>
      <c r="C43" s="30" t="s">
        <v>1275</v>
      </c>
      <c r="D43" s="134">
        <v>99</v>
      </c>
      <c r="E43" s="117" t="str">
        <f>IF(Table_ClaimStatus[[#This Row],[Manual Message]]="",CONCATENATE("Section ",VLOOKUP(Table_ClaimStatus[[#This Row],[Section '#]],Table_SectionNames[],MATCH(Table_SectionNames[[#Headers],[Section Header]],Table_SectionNames[#Headers],0))," in progress"),Table_ClaimStatus[[#This Row],[Manual Message]])</f>
        <v>Ready for authorization</v>
      </c>
      <c r="F43" s="117" t="s">
        <v>1276</v>
      </c>
      <c r="G43" s="30" t="b">
        <v>0</v>
      </c>
      <c r="H43" s="30"/>
      <c r="I43" s="30"/>
      <c r="J43" s="30"/>
    </row>
  </sheetData>
  <sheetProtection password="EDC4" sheet="1" objects="1" scenarios="1" selectLockedCells="1" selectUnlockedCells="1"/>
  <mergeCells count="2">
    <mergeCell ref="B1:E1"/>
    <mergeCell ref="B24:E24"/>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SharedWithUsers xmlns="c8c6777c-a985-4543-b6be-04714913a8fd">
      <UserInfo>
        <DisplayName>Porsha Pruchnicki</DisplayName>
        <AccountId>3363</AccountId>
        <AccountType/>
      </UserInfo>
      <UserInfo>
        <DisplayName>Glenna Stirrett</DisplayName>
        <AccountId>1980</AccountId>
        <AccountType/>
      </UserInfo>
      <UserInfo>
        <DisplayName>Pat Morris</DisplayName>
        <AccountId>4676</AccountId>
        <AccountType/>
      </UserInfo>
      <UserInfo>
        <DisplayName>Jonna Gladwell</DisplayName>
        <AccountId>4689</AccountId>
        <AccountType/>
      </UserInfo>
    </SharedWithUsers>
    <_dlc_DocId xmlns="c8c6777c-a985-4543-b6be-04714913a8fd">NOSM-1841831435-4100</_dlc_DocId>
    <_dlc_DocIdPersistId xmlns="c8c6777c-a985-4543-b6be-04714913a8fd" xsi:nil="true"/>
    <_ip_UnifiedCompliancePolicyUIAction xmlns="http://schemas.microsoft.com/sharepoint/v3" xsi:nil="true"/>
    <_dlc_DocIdUrl xmlns="c8c6777c-a985-4543-b6be-04714913a8fd">
      <Url>https://nosm.sharepoint.com/org/ce/ceicl/rs/_layouts/15/DocIdRedir.aspx?ID=NOSM-1841831435-4100</Url>
      <Description>NOSM-1841831435-4100</Description>
    </_dlc_DocIdUrl>
    <_Flow_SignoffStatus xmlns="7aedb718-d849-4514-98d3-59319bea45e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05BD48868A0AD244A9CA3F91FA0A484F" ma:contentTypeVersion="113" ma:contentTypeDescription="Create a new document." ma:contentTypeScope="" ma:versionID="71a49b1c8d3a02ccb536497981b8300e">
  <xsd:schema xmlns:xsd="http://www.w3.org/2001/XMLSchema" xmlns:xs="http://www.w3.org/2001/XMLSchema" xmlns:p="http://schemas.microsoft.com/office/2006/metadata/properties" xmlns:ns1="http://schemas.microsoft.com/sharepoint/v3" xmlns:ns2="c8c6777c-a985-4543-b6be-04714913a8fd" xmlns:ns3="7aedb718-d849-4514-98d3-59319bea45e9" targetNamespace="http://schemas.microsoft.com/office/2006/metadata/properties" ma:root="true" ma:fieldsID="e56e3a289d45a8c6039aa1565551cf5d" ns1:_="" ns2:_="" ns3:_="">
    <xsd:import namespace="http://schemas.microsoft.com/sharepoint/v3"/>
    <xsd:import namespace="c8c6777c-a985-4543-b6be-04714913a8fd"/>
    <xsd:import namespace="7aedb718-d849-4514-98d3-59319bea45e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DateTaken" minOccurs="0"/>
                <xsd:element ref="ns2:SharedWithUsers" minOccurs="0"/>
                <xsd:element ref="ns2:SharedWithDetails" minOccurs="0"/>
                <xsd:element ref="ns1:_ip_UnifiedCompliancePolicyProperties" minOccurs="0"/>
                <xsd:element ref="ns1:_ip_UnifiedCompliancePolicyUIAction" minOccurs="0"/>
                <xsd:element ref="ns3:MediaServiceOCR" minOccurs="0"/>
                <xsd:element ref="ns3:_Flow_SignoffStatu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6777c-a985-4543-b6be-04714913a8f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edb718-d849-4514-98d3-59319bea45e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BA472-0183-414A-94A6-389058A0D803}">
  <ds:schemaRefs>
    <ds:schemaRef ds:uri="http://schemas.microsoft.com/office/2006/metadata/properties"/>
    <ds:schemaRef ds:uri="http://schemas.microsoft.com/office/infopath/2007/PartnerControls"/>
    <ds:schemaRef ds:uri="http://schemas.microsoft.com/sharepoint/v3"/>
    <ds:schemaRef ds:uri="c8c6777c-a985-4543-b6be-04714913a8fd"/>
    <ds:schemaRef ds:uri="7aedb718-d849-4514-98d3-59319bea45e9"/>
  </ds:schemaRefs>
</ds:datastoreItem>
</file>

<file path=customXml/itemProps2.xml><?xml version="1.0" encoding="utf-8"?>
<ds:datastoreItem xmlns:ds="http://schemas.openxmlformats.org/officeDocument/2006/customXml" ds:itemID="{3572739C-6E33-413A-A9CF-5C02CA1B9AF0}">
  <ds:schemaRefs>
    <ds:schemaRef ds:uri="http://schemas.microsoft.com/sharepoint/v3/contenttype/forms"/>
  </ds:schemaRefs>
</ds:datastoreItem>
</file>

<file path=customXml/itemProps3.xml><?xml version="1.0" encoding="utf-8"?>
<ds:datastoreItem xmlns:ds="http://schemas.openxmlformats.org/officeDocument/2006/customXml" ds:itemID="{1F0391F7-201B-43BC-BBEF-9D75759EB219}">
  <ds:schemaRefs>
    <ds:schemaRef ds:uri="http://schemas.microsoft.com/sharepoint/events"/>
  </ds:schemaRefs>
</ds:datastoreItem>
</file>

<file path=customXml/itemProps4.xml><?xml version="1.0" encoding="utf-8"?>
<ds:datastoreItem xmlns:ds="http://schemas.openxmlformats.org/officeDocument/2006/customXml" ds:itemID="{140450BF-382F-4123-A497-641B0905E6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c6777c-a985-4543-b6be-04714913a8fd"/>
    <ds:schemaRef ds:uri="7aedb718-d849-4514-98d3-59319bea45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198</vt:i4>
      </vt:variant>
    </vt:vector>
  </HeadingPairs>
  <TitlesOfParts>
    <vt:vector size="209" baseType="lpstr">
      <vt:lpstr>Travel Expense Summary</vt:lpstr>
      <vt:lpstr>Kilometer Matrix (Appendix F)</vt:lpstr>
      <vt:lpstr>Error List</vt:lpstr>
      <vt:lpstr>NAMED RANGES</vt:lpstr>
      <vt:lpstr>Particulars Validation</vt:lpstr>
      <vt:lpstr>Mileage Validation</vt:lpstr>
      <vt:lpstr>Meal Validation</vt:lpstr>
      <vt:lpstr>Expense Type Validation</vt:lpstr>
      <vt:lpstr>Claim Status Validation</vt:lpstr>
      <vt:lpstr>Text Summary</vt:lpstr>
      <vt:lpstr>Additions</vt:lpstr>
      <vt:lpstr>Authorization_SubmissionDate</vt:lpstr>
      <vt:lpstr>ClaimAllocation_Amount1</vt:lpstr>
      <vt:lpstr>ClaimAllocation_Amount2</vt:lpstr>
      <vt:lpstr>ClaimAllocation_Amount3</vt:lpstr>
      <vt:lpstr>ClaimAllocation_Amount4</vt:lpstr>
      <vt:lpstr>ClaimAllocation_AmountArray</vt:lpstr>
      <vt:lpstr>ClaimAllocation_GL1</vt:lpstr>
      <vt:lpstr>ClaimAllocation_GL2</vt:lpstr>
      <vt:lpstr>ClaimAllocation_GL3</vt:lpstr>
      <vt:lpstr>ClaimAllocation_GL4</vt:lpstr>
      <vt:lpstr>ClaimAllocation_GLArray</vt:lpstr>
      <vt:lpstr>ClaimStatus</vt:lpstr>
      <vt:lpstr>DefaultMileageRate</vt:lpstr>
      <vt:lpstr>Dropdown_AddressType</vt:lpstr>
      <vt:lpstr>Dropdown_ClaimType</vt:lpstr>
      <vt:lpstr>Dropdown_Expenses</vt:lpstr>
      <vt:lpstr>Dropdown_KMCentre</vt:lpstr>
      <vt:lpstr>Dropdown_KMCommunity</vt:lpstr>
      <vt:lpstr>Dropdown_NotSelectedValue</vt:lpstr>
      <vt:lpstr>Dropdown_PayeeType</vt:lpstr>
      <vt:lpstr>Dropdown_PaymentOptions</vt:lpstr>
      <vt:lpstr>Dropdown_Prefix</vt:lpstr>
      <vt:lpstr>Dropdown_ProvinceAbbr</vt:lpstr>
      <vt:lpstr>Dropdown_Purpose</vt:lpstr>
      <vt:lpstr>Dropdown_Range</vt:lpstr>
      <vt:lpstr>Dropdown_Requester</vt:lpstr>
      <vt:lpstr>Dropdown_SEctionNum</vt:lpstr>
      <vt:lpstr>Dropdown_SubmittingPortfolio</vt:lpstr>
      <vt:lpstr>Dropdown_TripType</vt:lpstr>
      <vt:lpstr>Dropdown_YesNo</vt:lpstr>
      <vt:lpstr>Error_OffsetRef</vt:lpstr>
      <vt:lpstr>ErrorHighlighter_ReferenceArray</vt:lpstr>
      <vt:lpstr>ErrorHighlighter_TrueArray</vt:lpstr>
      <vt:lpstr>Field01_Prefix</vt:lpstr>
      <vt:lpstr>Field02_FirstName</vt:lpstr>
      <vt:lpstr>Field03_LastName</vt:lpstr>
      <vt:lpstr>Field04_Address</vt:lpstr>
      <vt:lpstr>Field05_City</vt:lpstr>
      <vt:lpstr>Field06A_Province</vt:lpstr>
      <vt:lpstr>Field06B_PostalCode</vt:lpstr>
      <vt:lpstr>Field07A_AddressType</vt:lpstr>
      <vt:lpstr>Field07B_Email</vt:lpstr>
      <vt:lpstr>Field07C_DOB</vt:lpstr>
      <vt:lpstr>Field07D_Phone</vt:lpstr>
      <vt:lpstr>Field08_Portfolio</vt:lpstr>
      <vt:lpstr>Field09_PayeeType</vt:lpstr>
      <vt:lpstr>Field10_PaymentOption</vt:lpstr>
      <vt:lpstr>Field11_DepartureCity</vt:lpstr>
      <vt:lpstr>Field12_DestinationCity</vt:lpstr>
      <vt:lpstr>Field13_TravelScope</vt:lpstr>
      <vt:lpstr>Field14_TripType</vt:lpstr>
      <vt:lpstr>Field15_TravelStartDate</vt:lpstr>
      <vt:lpstr>Field16_TravelEndDate</vt:lpstr>
      <vt:lpstr>Field17_ClaimType</vt:lpstr>
      <vt:lpstr>Field18_TravelAdvanceAmount</vt:lpstr>
      <vt:lpstr>Field19_Purpose</vt:lpstr>
      <vt:lpstr>Field20_RequestedBy</vt:lpstr>
      <vt:lpstr>Field21_Description</vt:lpstr>
      <vt:lpstr>Field22_AddDetails</vt:lpstr>
      <vt:lpstr>Field23_ContactName</vt:lpstr>
      <vt:lpstr>Field24_ContactEmail</vt:lpstr>
      <vt:lpstr>Field25_ContactPhone</vt:lpstr>
      <vt:lpstr>Field30_MaximumAmount</vt:lpstr>
      <vt:lpstr>Field31_MaximumReason</vt:lpstr>
      <vt:lpstr>Form_Formulas</vt:lpstr>
      <vt:lpstr>HelpDialogue_FieldEntry</vt:lpstr>
      <vt:lpstr>HelpDialogue_Message</vt:lpstr>
      <vt:lpstr>Hide_KMFields</vt:lpstr>
      <vt:lpstr>HideReceiptFields</vt:lpstr>
      <vt:lpstr>HSTFedRebate</vt:lpstr>
      <vt:lpstr>HSTProvRebate</vt:lpstr>
      <vt:lpstr>HSTTotal</vt:lpstr>
      <vt:lpstr>Lookup_Error</vt:lpstr>
      <vt:lpstr>Lookup_ErrorHeaders</vt:lpstr>
      <vt:lpstr>Lookup_StatusCalc</vt:lpstr>
      <vt:lpstr>Lookup_StatusColour</vt:lpstr>
      <vt:lpstr>Meal_DatesArray</vt:lpstr>
      <vt:lpstr>MealMax_Breakfast</vt:lpstr>
      <vt:lpstr>MealMax_Dinner</vt:lpstr>
      <vt:lpstr>MealMax_Lunch</vt:lpstr>
      <vt:lpstr>Meals_Date01</vt:lpstr>
      <vt:lpstr>Meals_Date02</vt:lpstr>
      <vt:lpstr>Meals_Date03</vt:lpstr>
      <vt:lpstr>Meals_Date04</vt:lpstr>
      <vt:lpstr>Meals_Date05</vt:lpstr>
      <vt:lpstr>Meals_Date06</vt:lpstr>
      <vt:lpstr>Meals_Date07</vt:lpstr>
      <vt:lpstr>Meals_Date08</vt:lpstr>
      <vt:lpstr>Meals_Date09</vt:lpstr>
      <vt:lpstr>Meals_Date10</vt:lpstr>
      <vt:lpstr>Meals_DuplicateDates</vt:lpstr>
      <vt:lpstr>Meals_Receipts01</vt:lpstr>
      <vt:lpstr>Meals_Receipts02</vt:lpstr>
      <vt:lpstr>Meals_Receipts03</vt:lpstr>
      <vt:lpstr>Meals_Receipts04</vt:lpstr>
      <vt:lpstr>Meals_Receipts05</vt:lpstr>
      <vt:lpstr>Meals_Receipts06</vt:lpstr>
      <vt:lpstr>Meals_Receipts07</vt:lpstr>
      <vt:lpstr>Meals_Receipts08</vt:lpstr>
      <vt:lpstr>Meals_Receipts09</vt:lpstr>
      <vt:lpstr>Meals_Receipts10</vt:lpstr>
      <vt:lpstr>Other_DateArray</vt:lpstr>
      <vt:lpstr>Other_DescriptionArray</vt:lpstr>
      <vt:lpstr>Other_ExpenseTypeArray</vt:lpstr>
      <vt:lpstr>Other_FromArray</vt:lpstr>
      <vt:lpstr>Other_KMArray</vt:lpstr>
      <vt:lpstr>Other_ReceiptAmountArray</vt:lpstr>
      <vt:lpstr>Other_ToArray</vt:lpstr>
      <vt:lpstr>Other_TotalArray</vt:lpstr>
      <vt:lpstr>Others_Date01</vt:lpstr>
      <vt:lpstr>Others_Date02</vt:lpstr>
      <vt:lpstr>Others_Date03</vt:lpstr>
      <vt:lpstr>Others_Date04</vt:lpstr>
      <vt:lpstr>Others_Date05</vt:lpstr>
      <vt:lpstr>Others_Date06</vt:lpstr>
      <vt:lpstr>Others_Date07</vt:lpstr>
      <vt:lpstr>Others_Date08</vt:lpstr>
      <vt:lpstr>Others_Date09</vt:lpstr>
      <vt:lpstr>Others_Date10</vt:lpstr>
      <vt:lpstr>Others_Date11</vt:lpstr>
      <vt:lpstr>Others_Desc01</vt:lpstr>
      <vt:lpstr>Others_Desc02</vt:lpstr>
      <vt:lpstr>Others_Desc03</vt:lpstr>
      <vt:lpstr>Others_Desc04</vt:lpstr>
      <vt:lpstr>Others_Desc05</vt:lpstr>
      <vt:lpstr>Others_Desc06</vt:lpstr>
      <vt:lpstr>Others_Desc07</vt:lpstr>
      <vt:lpstr>Others_Desc08</vt:lpstr>
      <vt:lpstr>Others_Desc09</vt:lpstr>
      <vt:lpstr>Others_Desc10</vt:lpstr>
      <vt:lpstr>Others_Desc11</vt:lpstr>
      <vt:lpstr>Others_Expense01</vt:lpstr>
      <vt:lpstr>Others_Expense02</vt:lpstr>
      <vt:lpstr>Others_Expense03</vt:lpstr>
      <vt:lpstr>Others_Expense04</vt:lpstr>
      <vt:lpstr>Others_Expense05</vt:lpstr>
      <vt:lpstr>Others_Expense06</vt:lpstr>
      <vt:lpstr>Others_Expense07</vt:lpstr>
      <vt:lpstr>Others_Expense08</vt:lpstr>
      <vt:lpstr>Others_Expense09</vt:lpstr>
      <vt:lpstr>Others_Expense10</vt:lpstr>
      <vt:lpstr>Others_Expense11</vt:lpstr>
      <vt:lpstr>Others_From01</vt:lpstr>
      <vt:lpstr>Others_From02</vt:lpstr>
      <vt:lpstr>Others_From03</vt:lpstr>
      <vt:lpstr>Others_From04</vt:lpstr>
      <vt:lpstr>Others_From05</vt:lpstr>
      <vt:lpstr>Others_From06</vt:lpstr>
      <vt:lpstr>Others_From07</vt:lpstr>
      <vt:lpstr>Others_From08</vt:lpstr>
      <vt:lpstr>Others_From09</vt:lpstr>
      <vt:lpstr>Others_From10</vt:lpstr>
      <vt:lpstr>Others_From11</vt:lpstr>
      <vt:lpstr>Others_KM01</vt:lpstr>
      <vt:lpstr>Others_KM02</vt:lpstr>
      <vt:lpstr>Others_KM03</vt:lpstr>
      <vt:lpstr>Others_KM04</vt:lpstr>
      <vt:lpstr>Others_KM05</vt:lpstr>
      <vt:lpstr>Others_KM06</vt:lpstr>
      <vt:lpstr>Others_KM07</vt:lpstr>
      <vt:lpstr>Others_KM08</vt:lpstr>
      <vt:lpstr>Others_KM09</vt:lpstr>
      <vt:lpstr>Others_KM10</vt:lpstr>
      <vt:lpstr>Others_KM11</vt:lpstr>
      <vt:lpstr>Others_Receipt01</vt:lpstr>
      <vt:lpstr>Others_Receipt02</vt:lpstr>
      <vt:lpstr>Others_Receipt03</vt:lpstr>
      <vt:lpstr>Others_Receipt04</vt:lpstr>
      <vt:lpstr>Others_Receipt05</vt:lpstr>
      <vt:lpstr>Others_Receipt06</vt:lpstr>
      <vt:lpstr>Others_Receipt07</vt:lpstr>
      <vt:lpstr>Others_Receipt08</vt:lpstr>
      <vt:lpstr>Others_Receipt09</vt:lpstr>
      <vt:lpstr>Others_Receipt10</vt:lpstr>
      <vt:lpstr>Others_Receipt11</vt:lpstr>
      <vt:lpstr>Others_To01</vt:lpstr>
      <vt:lpstr>Others_To02</vt:lpstr>
      <vt:lpstr>Others_To03</vt:lpstr>
      <vt:lpstr>Others_To04</vt:lpstr>
      <vt:lpstr>Others_To05</vt:lpstr>
      <vt:lpstr>Others_To06</vt:lpstr>
      <vt:lpstr>Others_To07</vt:lpstr>
      <vt:lpstr>Others_To08</vt:lpstr>
      <vt:lpstr>Others_To09</vt:lpstr>
      <vt:lpstr>Others_To10</vt:lpstr>
      <vt:lpstr>Others_To11</vt:lpstr>
      <vt:lpstr>PostalValidated</vt:lpstr>
      <vt:lpstr>'Travel Expense Summary'!Print_Area</vt:lpstr>
      <vt:lpstr>'Kilometer Matrix (Appendix F)'!Print_Titles</vt:lpstr>
      <vt:lpstr>ReceiptAreaMeals</vt:lpstr>
      <vt:lpstr>ReceiptEntryArea</vt:lpstr>
      <vt:lpstr>ReceiptHeaders</vt:lpstr>
      <vt:lpstr>SubmissionDateVal_End</vt:lpstr>
      <vt:lpstr>SubmissionDateVal_Start</vt:lpstr>
      <vt:lpstr>Table_OtherExps</vt:lpstr>
      <vt:lpstr>Total_Other</vt:lpstr>
      <vt:lpstr>TravelTextDescription</vt:lpstr>
      <vt:lpstr>TravelTextDescription_Display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2020-11-03T17:57:39Z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11100</vt:r8>
  </property>
  <property fmtid="{D5CDD505-2E9C-101B-9397-08002B2CF9AE}" pid="3" name="xd_ProgID">
    <vt:lpwstr/>
  </property>
  <property fmtid="{D5CDD505-2E9C-101B-9397-08002B2CF9AE}" pid="4" name="ContentTypeId">
    <vt:lpwstr>0x01010005BD48868A0AD244A9CA3F91FA0A484F</vt:lpwstr>
  </property>
  <property fmtid="{D5CDD505-2E9C-101B-9397-08002B2CF9AE}" pid="5" name="TemplateUrl">
    <vt:lpwstr/>
  </property>
  <property fmtid="{D5CDD505-2E9C-101B-9397-08002B2CF9AE}" pid="6" name="_dlc_DocIdItemGuid">
    <vt:lpwstr>8046b17d-4147-4038-a618-5bb46bb4980d</vt:lpwstr>
  </property>
  <property fmtid="{D5CDD505-2E9C-101B-9397-08002B2CF9AE}" pid="7" name="AuthorIds_UIVersion_21504">
    <vt:lpwstr>599</vt:lpwstr>
  </property>
</Properties>
</file>