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5200" windowHeight="10770"/>
  </bookViews>
  <sheets>
    <sheet name="Travel Expense Summary" sheetId="9" r:id="rId1"/>
    <sheet name="Kilometer Matrix (Appendix F)" sheetId="17" r:id="rId2"/>
    <sheet name="Error List" sheetId="7" state="hidden" r:id="rId3"/>
    <sheet name="NAMED RANGES" sheetId="8" state="hidden" r:id="rId4"/>
    <sheet name="Particulars Validation" sheetId="4" state="hidden" r:id="rId5"/>
    <sheet name="Mileage Validation" sheetId="18" state="hidden" r:id="rId6"/>
    <sheet name="Meal Validation" sheetId="3" state="hidden" r:id="rId7"/>
    <sheet name="Expense Type Validation" sheetId="5" state="hidden" r:id="rId8"/>
    <sheet name="Claim Status Validation" sheetId="15" state="hidden" r:id="rId9"/>
    <sheet name="Text Summary" sheetId="11" state="hidden" r:id="rId10"/>
    <sheet name="Additions" sheetId="16" state="hidden" r:id="rId11"/>
  </sheets>
  <definedNames>
    <definedName name="_xlnm._FilterDatabase" localSheetId="1" hidden="1">'Kilometer Matrix (Appendix F)'!$A$13:$H$80</definedName>
    <definedName name="Authorization_SubmissionDate">'Travel Expense Summary'!$U$43</definedName>
    <definedName name="ClaimAllocation_Amount1">'Travel Expense Summary'!$M$42</definedName>
    <definedName name="ClaimAllocation_Amount2">'Travel Expense Summary'!$M$43</definedName>
    <definedName name="ClaimAllocation_Amount3">'Travel Expense Summary'!$M$44</definedName>
    <definedName name="ClaimAllocation_Amount4">'Travel Expense Summary'!$M$45</definedName>
    <definedName name="ClaimAllocation_AmountArray">'Travel Expense Summary'!$M$42,'Travel Expense Summary'!$M$43,'Travel Expense Summary'!$M$44,'Travel Expense Summary'!$M$45</definedName>
    <definedName name="ClaimAllocation_GL1">'Travel Expense Summary'!$J$42</definedName>
    <definedName name="ClaimAllocation_GL2">'Travel Expense Summary'!$J$43</definedName>
    <definedName name="ClaimAllocation_GL3">'Travel Expense Summary'!$J$44</definedName>
    <definedName name="ClaimAllocation_GL4">'Travel Expense Summary'!$J$45</definedName>
    <definedName name="ClaimAllocation_GLArray">'Travel Expense Summary'!$J$42:$L$45</definedName>
    <definedName name="ClaimStatus">'Travel Expense Summary'!$AE$24</definedName>
    <definedName name="DefaultMileageRate">'Particulars Validation'!$Z$4</definedName>
    <definedName name="Dropdown_AddressType">Table_AddressType[Address Type]</definedName>
    <definedName name="Dropdown_ClaimType">Table_ClaimType[Claim Type]</definedName>
    <definedName name="Dropdown_Expenses">Table_Expenses[Expense]</definedName>
    <definedName name="Dropdown_KMCentre">Table_KMCentre[Community]</definedName>
    <definedName name="Dropdown_KMCommunity">Table_KMCommunity[Community]</definedName>
    <definedName name="Dropdown_NotSelectedValue">'Particulars Validation'!$A$4</definedName>
    <definedName name="Dropdown_PayeeType">Table_PayeeType[Payee Type]</definedName>
    <definedName name="Dropdown_PaymentOptions">Table_PaymentOption[Banking Options]</definedName>
    <definedName name="Dropdown_Prefix">Table_Prefix[Prefix]</definedName>
    <definedName name="Dropdown_ProvinceAbbr">Table_Provinces[Abbr]</definedName>
    <definedName name="Dropdown_Purpose">Table_Conference[Purpose]</definedName>
    <definedName name="Dropdown_Range">Table_Range[Range]</definedName>
    <definedName name="Dropdown_ReceiptDates">OFFSET(INDEX(Table_Dates[Receipt Date Available],1,1),0,0,COUNTA(Table_Dates[Receipt Date Available])-COUNTIF(Table_Dates[Receipt Date Available],"XXXX"),1)</definedName>
    <definedName name="Dropdown_Requester">Table_Requester[Requester]</definedName>
    <definedName name="Dropdown_SEctionNum">Table_SectionNames[Section '#]</definedName>
    <definedName name="Dropdown_SubmittingPortfolio">Table_SubmittingPortfolio[Submitting Portfolio]</definedName>
    <definedName name="Dropdown_TravelEndDates">IF(Field15_TravelStartDate&lt;&gt;"",Table_Dates[Travel End Date Available],Field15_TravelStartDate)</definedName>
    <definedName name="Dropdown_TripType">Table_TripType[Trip Type]</definedName>
    <definedName name="Dropdown_YesNo">Table_YesNo[YesNo]</definedName>
    <definedName name="Error_OffsetRef">'Error List'!$A$7</definedName>
    <definedName name="ErrorHighlighter_ReferenceArray">Table_ErrorList[Used Reference]</definedName>
    <definedName name="ErrorHighlighter_TrueArray">Table_ErrorList[Error Evaluation]</definedName>
    <definedName name="Field01_Prefix">'Travel Expense Summary'!$C$12</definedName>
    <definedName name="Field02_FirstName">'Travel Expense Summary'!$C$13</definedName>
    <definedName name="Field03_LastName">'Travel Expense Summary'!$C$14</definedName>
    <definedName name="Field04_Address">'Travel Expense Summary'!$C$15</definedName>
    <definedName name="Field05_City">'Travel Expense Summary'!$C$16</definedName>
    <definedName name="Field06A_Province">'Travel Expense Summary'!$C$17</definedName>
    <definedName name="Field06B_PostalCode">'Travel Expense Summary'!$E$17</definedName>
    <definedName name="Field07A_AddressType">'Travel Expense Summary'!$C$18</definedName>
    <definedName name="Field07B_Email">'Travel Expense Summary'!$C$19</definedName>
    <definedName name="Field07C_DOB">'Travel Expense Summary'!$C$20</definedName>
    <definedName name="Field07D_Phone">'Travel Expense Summary'!$E$20</definedName>
    <definedName name="Field08_Portfolio">'Travel Expense Summary'!$C$21</definedName>
    <definedName name="Field09_PayeeType">'Travel Expense Summary'!$C$22</definedName>
    <definedName name="Field10_PaymentOption">'Travel Expense Summary'!$C$23</definedName>
    <definedName name="Field11_DepartureCity">'Travel Expense Summary'!$C$27</definedName>
    <definedName name="Field12_DestinationCity">'Travel Expense Summary'!$C$28</definedName>
    <definedName name="Field13_TravelScope">'Travel Expense Summary'!$C$29</definedName>
    <definedName name="Field14_TripType">'Travel Expense Summary'!$C$30</definedName>
    <definedName name="Field15_TravelStartDate">'Travel Expense Summary'!$C$31</definedName>
    <definedName name="Field16_TravelEndDate">'Travel Expense Summary'!$C$32</definedName>
    <definedName name="Field17_ClaimType">'Travel Expense Summary'!$C$35</definedName>
    <definedName name="Field18_TravelAdvanceAmount">'Travel Expense Summary'!$C$36</definedName>
    <definedName name="Field19_Purpose">'Travel Expense Summary'!$C$37</definedName>
    <definedName name="Field20_RequestedBy">'Travel Expense Summary'!$C$38</definedName>
    <definedName name="Field21_Description">'Travel Expense Summary'!$H$13</definedName>
    <definedName name="Field22_AddDetails">'Travel Expense Summary'!$H$16</definedName>
    <definedName name="Field23_ContactName">'Travel Expense Summary'!$J$21</definedName>
    <definedName name="Field24_ContactEmail">'Travel Expense Summary'!$J$22</definedName>
    <definedName name="Field25_ContactPhone">'Travel Expense Summary'!$J$23</definedName>
    <definedName name="Field30_MaximumAmount">'Travel Expense Summary'!$F$42</definedName>
    <definedName name="Field31_MaximumReason">'Travel Expense Summary'!$C$43</definedName>
    <definedName name="Form_Formulas">'Travel Expense Summary'!$C$1:$AA$4,'Travel Expense Summary'!$D$8,'Travel Expense Summary'!$B$11,'Travel Expense Summary'!$H$11,'Travel Expense Summary'!$O$11,'Travel Expense Summary'!$V$13:$Y$22,'Travel Expense Summary'!$B$19,'Travel Expense Summary'!$H$20,'Travel Expense Summary'!$H$22,'Travel Expense Summary'!$Z$13:$Z$23,'Travel Expense Summary'!$H$25,'Travel Expense Summary'!$Y$25,'Travel Expense Summary'!$B$26,'Travel Expense Summary'!$B$34,'Travel Expense Summary'!$Z$27:$Z$38,'Travel Expense Summary'!$B$41,'Travel Expense Summary'!$H$41,'Travel Expense Summary'!$P$41,'Travel Expense Summary'!$R$43,'Travel Expense Summary'!$B$46,'Travel Expense Summary'!$K$47,'Travel Expense Summary'!$M$46:$N$48,'Travel Expense Summary'!$B$47:$E$49,'Travel Expense Summary'!$H$50:$V$50,'Travel Expense Summary'!$X$50,'Travel Expense Summary'!$Y$51:$Z$53,'Travel Expense Summary'!$F$47:$F$53</definedName>
    <definedName name="HelpDialogue_FieldEntry">'Travel Expense Summary'!$C$3</definedName>
    <definedName name="HelpDialogue_Message">'Travel Expense Summary'!$C$1</definedName>
    <definedName name="Hide_KMFields">'Expense Type Validation'!$F$52</definedName>
    <definedName name="HideAdvanceAmount">IFERROR(NOT(VLOOKUP(Field17_ClaimType,Table_ClaimType[],MATCH(Table_ClaimType[[#Headers],[Advance Amount Available]],Table_ClaimType[#Headers],0),FALSE)),FALSE)</definedName>
    <definedName name="HideClaimDetails">VLOOKUP(Field09_PayeeType,Table_PayeeType[],MATCH(Table_PayeeType[[#Headers],[ClaimDetails Available]],Table_PayeeType[#Headers],0),FALSE)=FALSE</definedName>
    <definedName name="HideReceiptFields">'Expense Type Validation'!$E$52</definedName>
    <definedName name="HideRequester">IFERROR(NOT(VLOOKUP(Field19_Purpose,Table_Conference[],MATCH(Table_Conference[[#Headers],[Form Required Available]],Table_Conference[#Headers],0),FALSE)),FALSE)</definedName>
    <definedName name="HSTFedRebate">'Particulars Validation'!$AR$7</definedName>
    <definedName name="HSTProvRebate">'Particulars Validation'!$AS$7</definedName>
    <definedName name="HSTTotal">'Particulars Validation'!$AT$7</definedName>
    <definedName name="Lookup_Error">Table_ErrorList[]</definedName>
    <definedName name="Lookup_ErrorHeaders">Table_ErrorList[#Headers]</definedName>
    <definedName name="Lookup_KMCommunity">MATCH('Kilometer Matrix (Appendix F)'!$B$3,Table_KMMatrix[Community],0)-1</definedName>
    <definedName name="Lookup_KMIntersect">IFERROR(FIND(CELL("address",'Kilometer Matrix (Appendix F)'!XEV1048568),IFERROR(CELL("address",OFFSET(INDEX(Table_KMMatrix[],1,1),MATCH('Kilometer Matrix (Appendix F)'!$B$3,Table_KMMatrix[Community],0)-1,MATCH('Kilometer Matrix (Appendix F)'!$D$3,Table_KMMatrix[#Headers],0)-1,1,1)),"")&amp;",",1)&gt;0,FALSE)</definedName>
    <definedName name="Lookup_KMMajor">MATCH('Kilometer Matrix (Appendix F)'!$D$3,Table_KMMatrix[#Headers],0)-1</definedName>
    <definedName name="Lookup_KMRefStart">INDEX(Table_KMMatrix[],1,1)</definedName>
    <definedName name="Lookup_StatusCalc">Table_ClaimStatus[Calculation]</definedName>
    <definedName name="Lookup_StatusColour">Table_ClaimStatus[COLOUR ON]</definedName>
    <definedName name="Meal_DatesArray">'Travel Expense Summary'!$P$13:$P$22</definedName>
    <definedName name="MealMax_Breakfast">'Meal Validation'!$D$10</definedName>
    <definedName name="MealMax_Dinner">'Meal Validation'!$D$12</definedName>
    <definedName name="MealMax_Lunch">'Meal Validation'!$D$11</definedName>
    <definedName name="Meals_Date01">'Travel Expense Summary'!$P$13</definedName>
    <definedName name="Meals_Date02">'Travel Expense Summary'!$P$14</definedName>
    <definedName name="Meals_Date03">'Travel Expense Summary'!$P$15</definedName>
    <definedName name="Meals_Date04">'Travel Expense Summary'!$P$16</definedName>
    <definedName name="Meals_Date05">'Travel Expense Summary'!$P$17</definedName>
    <definedName name="Meals_Date06">'Travel Expense Summary'!$P$18</definedName>
    <definedName name="Meals_Date07">'Travel Expense Summary'!$P$19</definedName>
    <definedName name="Meals_Date08">'Travel Expense Summary'!$P$20</definedName>
    <definedName name="Meals_Date09">'Travel Expense Summary'!$P$21</definedName>
    <definedName name="Meals_Date10">'Travel Expense Summary'!$P$22</definedName>
    <definedName name="Meals_DuplicateDates">'Particulars Validation'!$AY$4</definedName>
    <definedName name="Meals_Receipts01">'Travel Expense Summary'!$R$13,'Travel Expense Summary'!$S$13,'Travel Expense Summary'!$T$13</definedName>
    <definedName name="Meals_Receipts02">'Travel Expense Summary'!$R$14,'Travel Expense Summary'!$S$14,'Travel Expense Summary'!$T$14</definedName>
    <definedName name="Meals_Receipts03">'Travel Expense Summary'!$R$15,'Travel Expense Summary'!$S$15,'Travel Expense Summary'!$T$15</definedName>
    <definedName name="Meals_Receipts04">'Travel Expense Summary'!$R$16,'Travel Expense Summary'!$S$16,'Travel Expense Summary'!$T$16</definedName>
    <definedName name="Meals_Receipts05">'Travel Expense Summary'!$R$17,'Travel Expense Summary'!$S$17,'Travel Expense Summary'!$T$17</definedName>
    <definedName name="Meals_Receipts06">'Travel Expense Summary'!$R$18,'Travel Expense Summary'!$S$18,'Travel Expense Summary'!$T$18</definedName>
    <definedName name="Meals_Receipts07">'Travel Expense Summary'!$R$19,'Travel Expense Summary'!$S$19,'Travel Expense Summary'!$T$19</definedName>
    <definedName name="Meals_Receipts08">'Travel Expense Summary'!$R$20,'Travel Expense Summary'!$S$20,'Travel Expense Summary'!$T$20</definedName>
    <definedName name="Meals_Receipts09">'Travel Expense Summary'!$R$21,'Travel Expense Summary'!$S$21,'Travel Expense Summary'!$T$21</definedName>
    <definedName name="Meals_Receipts10">'Travel Expense Summary'!$R$22,'Travel Expense Summary'!$S$22,'Travel Expense Summary'!$T$22</definedName>
    <definedName name="Other_DateArray">'Travel Expense Summary'!$I$27:$I$37</definedName>
    <definedName name="Other_DescriptionArray">'Travel Expense Summary'!$M$27:$M$37</definedName>
    <definedName name="Other_ExpenseTypeArray">'Travel Expense Summary'!$K$27:$L$37</definedName>
    <definedName name="Other_FromArray">'Travel Expense Summary'!$R$27:$R$37</definedName>
    <definedName name="Other_KMArray">'Travel Expense Summary'!$Y$27:$Y$37</definedName>
    <definedName name="Other_ReceiptAmountArray">'Travel Expense Summary'!$X$27:$X$37</definedName>
    <definedName name="Other_ToArray">'Travel Expense Summary'!$T$27:$T$37</definedName>
    <definedName name="Other_TotalArray">'Travel Expense Summary'!$Z$27:$Z$37</definedName>
    <definedName name="Others_Date01">'Travel Expense Summary'!$I$27</definedName>
    <definedName name="Others_Date02">'Travel Expense Summary'!$I$28</definedName>
    <definedName name="Others_Date03">'Travel Expense Summary'!$I$29</definedName>
    <definedName name="Others_Date04">'Travel Expense Summary'!$I$30</definedName>
    <definedName name="Others_Date05">'Travel Expense Summary'!$I$31</definedName>
    <definedName name="Others_Date06">'Travel Expense Summary'!$I$32</definedName>
    <definedName name="Others_Date07">'Travel Expense Summary'!$I$33</definedName>
    <definedName name="Others_Date08">'Travel Expense Summary'!$I$34</definedName>
    <definedName name="Others_Date09">'Travel Expense Summary'!$I$35</definedName>
    <definedName name="Others_Date10">'Travel Expense Summary'!$I$36</definedName>
    <definedName name="Others_Date11">'Travel Expense Summary'!$I$37</definedName>
    <definedName name="Others_Desc01">'Travel Expense Summary'!$M$27</definedName>
    <definedName name="Others_Desc02">'Travel Expense Summary'!$M$28</definedName>
    <definedName name="Others_Desc03">'Travel Expense Summary'!$M$29</definedName>
    <definedName name="Others_Desc04">'Travel Expense Summary'!$M$30</definedName>
    <definedName name="Others_Desc05">'Travel Expense Summary'!$M$31</definedName>
    <definedName name="Others_Desc06">'Travel Expense Summary'!$M$32</definedName>
    <definedName name="Others_Desc07">'Travel Expense Summary'!$M$33</definedName>
    <definedName name="Others_Desc08">'Travel Expense Summary'!$M$34</definedName>
    <definedName name="Others_Desc09">'Travel Expense Summary'!$M$35</definedName>
    <definedName name="Others_Desc10">'Travel Expense Summary'!$M$36</definedName>
    <definedName name="Others_Desc11">'Travel Expense Summary'!$M$37</definedName>
    <definedName name="Others_Expense01">'Travel Expense Summary'!$K$27</definedName>
    <definedName name="Others_Expense02">'Travel Expense Summary'!$K$28</definedName>
    <definedName name="Others_Expense03">'Travel Expense Summary'!$K$29</definedName>
    <definedName name="Others_Expense04">'Travel Expense Summary'!$K$30</definedName>
    <definedName name="Others_Expense05">'Travel Expense Summary'!$K$31</definedName>
    <definedName name="Others_Expense06">'Travel Expense Summary'!$K$32</definedName>
    <definedName name="Others_Expense07">'Travel Expense Summary'!$K$33</definedName>
    <definedName name="Others_Expense08">'Travel Expense Summary'!$K$34</definedName>
    <definedName name="Others_Expense09">'Travel Expense Summary'!$K$35</definedName>
    <definedName name="Others_Expense10">'Travel Expense Summary'!$K$36</definedName>
    <definedName name="Others_Expense11">'Travel Expense Summary'!$K$37</definedName>
    <definedName name="Others_From01">'Travel Expense Summary'!$R$27</definedName>
    <definedName name="Others_From02">'Travel Expense Summary'!$R$28</definedName>
    <definedName name="Others_From03">'Travel Expense Summary'!$R$29</definedName>
    <definedName name="Others_From04">'Travel Expense Summary'!$R$30</definedName>
    <definedName name="Others_From05">'Travel Expense Summary'!$R$31</definedName>
    <definedName name="Others_From06">'Travel Expense Summary'!$R$32</definedName>
    <definedName name="Others_From07">'Travel Expense Summary'!$R$33</definedName>
    <definedName name="Others_From08">'Travel Expense Summary'!$R$34</definedName>
    <definedName name="Others_From09">'Travel Expense Summary'!$R$35</definedName>
    <definedName name="Others_From10">'Travel Expense Summary'!$R$36</definedName>
    <definedName name="Others_From11">'Travel Expense Summary'!$R$37</definedName>
    <definedName name="Others_KM01">'Travel Expense Summary'!$Y$27</definedName>
    <definedName name="Others_KM02">'Travel Expense Summary'!$Y$28</definedName>
    <definedName name="Others_KM03">'Travel Expense Summary'!$Y$29</definedName>
    <definedName name="Others_KM04">'Travel Expense Summary'!$Y$30</definedName>
    <definedName name="Others_KM05">'Travel Expense Summary'!$Y$31</definedName>
    <definedName name="Others_KM06">'Travel Expense Summary'!$Y$32</definedName>
    <definedName name="Others_KM07">'Travel Expense Summary'!$Y$33</definedName>
    <definedName name="Others_KM08">'Travel Expense Summary'!$Y$34</definedName>
    <definedName name="Others_KM09">'Travel Expense Summary'!$Y$35</definedName>
    <definedName name="Others_KM10">'Travel Expense Summary'!$Y$36</definedName>
    <definedName name="Others_KM11">'Travel Expense Summary'!$Y$37</definedName>
    <definedName name="Others_Receipt01">'Travel Expense Summary'!$X$27</definedName>
    <definedName name="Others_Receipt02">'Travel Expense Summary'!$X$28</definedName>
    <definedName name="Others_Receipt03">'Travel Expense Summary'!$X$29</definedName>
    <definedName name="Others_Receipt04">'Travel Expense Summary'!$X$30</definedName>
    <definedName name="Others_Receipt05">'Travel Expense Summary'!$X$31</definedName>
    <definedName name="Others_Receipt06">'Travel Expense Summary'!$X$32</definedName>
    <definedName name="Others_Receipt07">'Travel Expense Summary'!$X$33</definedName>
    <definedName name="Others_Receipt08">'Travel Expense Summary'!$X$34</definedName>
    <definedName name="Others_Receipt09">'Travel Expense Summary'!$X$35</definedName>
    <definedName name="Others_Receipt10">'Travel Expense Summary'!$X$36</definedName>
    <definedName name="Others_Receipt11">'Travel Expense Summary'!$X$37</definedName>
    <definedName name="Others_To01">'Travel Expense Summary'!$T$27</definedName>
    <definedName name="Others_To02">'Travel Expense Summary'!$T$28</definedName>
    <definedName name="Others_To03">'Travel Expense Summary'!$T$29</definedName>
    <definedName name="Others_To04">'Travel Expense Summary'!$T$30</definedName>
    <definedName name="Others_To05">'Travel Expense Summary'!$T$31</definedName>
    <definedName name="Others_To06">'Travel Expense Summary'!$T$32</definedName>
    <definedName name="Others_To07">'Travel Expense Summary'!$T$33</definedName>
    <definedName name="Others_To08">'Travel Expense Summary'!$T$34</definedName>
    <definedName name="Others_To09">'Travel Expense Summary'!$T$35</definedName>
    <definedName name="Others_To10">'Travel Expense Summary'!$T$36</definedName>
    <definedName name="Others_To11">'Travel Expense Summary'!$T$37</definedName>
    <definedName name="PostalValidated">'Particulars Validation'!$W$16</definedName>
    <definedName name="_xlnm.Print_Area" localSheetId="0">'Travel Expense Summary'!$A$5:$AA$54</definedName>
    <definedName name="_xlnm.Print_Titles" localSheetId="1">'Kilometer Matrix (Appendix F)'!$1:$13</definedName>
    <definedName name="ReceiptAreaMeals">'Travel Expense Summary'!$R$13:$U$22</definedName>
    <definedName name="ReceiptEntryArea">'Travel Expense Summary'!$P$13:$U$22,'Travel Expense Summary'!$I$27:$Y$36</definedName>
    <definedName name="ReceiptHeaders">'Travel Expense Summary'!$O$11,'Travel Expense Summary'!$H$25</definedName>
    <definedName name="SubmissionDateVal_End">'Particulars Validation'!$D$79</definedName>
    <definedName name="SubmissionDateVal_Start">'Particulars Validation'!$D$78</definedName>
    <definedName name="Table_MealClaims">'Travel Expense Summary'!$P$13+'Travel Expense Summary'!$P$13:$Z$22</definedName>
    <definedName name="Table_OtherExps">'Travel Expense Summary'!$J$27:$Z$36</definedName>
    <definedName name="Total_Advance">IF(IFERROR(VLOOKUP(Field17_ClaimType,Table_ClaimType[],MATCH(Table_ClaimType[[#Headers],[Advance Amount Available]],Table_ClaimType[#Headers],0),FALSE),FALSE),-Field18_TravelAdvanceAmount,0)</definedName>
    <definedName name="Total_ClaimAllocation">SUM(ClaimAllocation_AmountArray)</definedName>
    <definedName name="Total_Eligible">IF(OR(Field30_MaximumAmount=0,Field30_MaximumAmount=""),Total_ExpenseClaimed,IF(Field30_MaximumAmount&lt;=Total_ExpenseClaimed,Field30_MaximumAmount,Total_ExpenseClaimed))</definedName>
    <definedName name="Total_ExpenseClaimed">SUM(Total_Meals,Total_TransAccomm,Total_Registration)</definedName>
    <definedName name="Total_Meals">SUMIF(Other_ExpenseTypeArray,"Meals*",Other_TotalArray)+'Travel Expense Summary'!$Z$23</definedName>
    <definedName name="Total_Other">'Travel Expense Summary'!$Z$38</definedName>
    <definedName name="Total_Payable">Total_Eligible+Total_Advance</definedName>
    <definedName name="Total_Registration">SUMIF(Other_ExpenseTypeArray,"Reg*",Other_TotalArray)</definedName>
    <definedName name="Total_TransAccomm">SUMIF(Other_ExpenseTypeArray,"Trans*",Other_TotalArray)+SUMIF(Other_ExpenseTypeArray,"Accomm*",Other_TotalArray)</definedName>
    <definedName name="TravelTextDescription">'Text Summary'!$B$3</definedName>
    <definedName name="TravelTextDescription_Display">'Text Summary'!$B$2</definedName>
  </definedNames>
  <calcPr calcId="152511"/>
</workbook>
</file>

<file path=xl/calcChain.xml><?xml version="1.0" encoding="utf-8"?>
<calcChain xmlns="http://schemas.openxmlformats.org/spreadsheetml/2006/main">
  <c r="E213" i="8" l="1"/>
  <c r="E214" i="8"/>
  <c r="J214" i="8" s="1"/>
  <c r="E215" i="8"/>
  <c r="J215" i="8" s="1"/>
  <c r="E216" i="8"/>
  <c r="G216" i="8" s="1"/>
  <c r="E217" i="8"/>
  <c r="F213" i="8"/>
  <c r="F214" i="8"/>
  <c r="F215" i="8"/>
  <c r="F216" i="8"/>
  <c r="F217" i="8"/>
  <c r="G213" i="8"/>
  <c r="G214" i="8"/>
  <c r="K214" i="8" s="1"/>
  <c r="G217" i="8"/>
  <c r="H213" i="8"/>
  <c r="H214" i="8"/>
  <c r="H217" i="8"/>
  <c r="I213" i="8"/>
  <c r="I214" i="8"/>
  <c r="I215" i="8"/>
  <c r="I216" i="8"/>
  <c r="I217" i="8"/>
  <c r="J213" i="8"/>
  <c r="J216" i="8"/>
  <c r="J217" i="8"/>
  <c r="K213" i="8"/>
  <c r="K217" i="8"/>
  <c r="D213" i="8"/>
  <c r="D214" i="8"/>
  <c r="D215" i="8"/>
  <c r="H216" i="8" l="1"/>
  <c r="K216" i="8" s="1"/>
  <c r="H215" i="8"/>
  <c r="G215" i="8"/>
  <c r="K215" i="8" s="1"/>
  <c r="D15" i="7"/>
  <c r="F15" i="7"/>
  <c r="R15" i="7"/>
  <c r="T15" i="7"/>
  <c r="U15" i="7"/>
  <c r="V15" i="7"/>
  <c r="V11" i="4"/>
  <c r="V14" i="4"/>
  <c r="V12" i="4"/>
  <c r="V9" i="4"/>
  <c r="V13" i="4"/>
  <c r="V10" i="4"/>
  <c r="V8" i="4"/>
  <c r="V4" i="4"/>
  <c r="W7" i="4" s="1"/>
  <c r="A165" i="7"/>
  <c r="A156" i="7"/>
  <c r="A147" i="7"/>
  <c r="A138" i="7"/>
  <c r="A129" i="7"/>
  <c r="A120" i="7"/>
  <c r="A111" i="7"/>
  <c r="A102" i="7"/>
  <c r="A93" i="7"/>
  <c r="A84" i="7"/>
  <c r="A75" i="7"/>
  <c r="D165" i="7"/>
  <c r="F165" i="7"/>
  <c r="R165" i="7"/>
  <c r="T165" i="7"/>
  <c r="U165" i="7"/>
  <c r="V165" i="7"/>
  <c r="D156" i="7"/>
  <c r="F156" i="7"/>
  <c r="R156" i="7"/>
  <c r="T156" i="7"/>
  <c r="U156" i="7"/>
  <c r="V156" i="7"/>
  <c r="D147" i="7"/>
  <c r="F147" i="7"/>
  <c r="R147" i="7"/>
  <c r="T147" i="7"/>
  <c r="U147" i="7"/>
  <c r="V147" i="7"/>
  <c r="D138" i="7"/>
  <c r="F138" i="7"/>
  <c r="R138" i="7"/>
  <c r="T138" i="7"/>
  <c r="U138" i="7"/>
  <c r="V138" i="7"/>
  <c r="D129" i="7"/>
  <c r="F129" i="7"/>
  <c r="R129" i="7"/>
  <c r="T129" i="7"/>
  <c r="U129" i="7"/>
  <c r="V129" i="7"/>
  <c r="D120" i="7"/>
  <c r="F120" i="7"/>
  <c r="R120" i="7"/>
  <c r="T120" i="7"/>
  <c r="U120" i="7"/>
  <c r="V120" i="7"/>
  <c r="D111" i="7"/>
  <c r="F111" i="7"/>
  <c r="R111" i="7"/>
  <c r="T111" i="7"/>
  <c r="U111" i="7"/>
  <c r="V111" i="7"/>
  <c r="D102" i="7"/>
  <c r="F102" i="7"/>
  <c r="R102" i="7"/>
  <c r="T102" i="7"/>
  <c r="U102" i="7"/>
  <c r="V102" i="7"/>
  <c r="D93" i="7"/>
  <c r="F93" i="7"/>
  <c r="R93" i="7"/>
  <c r="T93" i="7"/>
  <c r="U93" i="7"/>
  <c r="V93" i="7"/>
  <c r="D84" i="7"/>
  <c r="F84" i="7"/>
  <c r="R84" i="7"/>
  <c r="T84" i="7"/>
  <c r="U84" i="7"/>
  <c r="V84" i="7"/>
  <c r="D75" i="7"/>
  <c r="F75" i="7"/>
  <c r="R75" i="7"/>
  <c r="T75" i="7"/>
  <c r="U75" i="7"/>
  <c r="V75" i="7"/>
  <c r="B156" i="7"/>
  <c r="B111" i="7"/>
  <c r="B102" i="7"/>
  <c r="B147" i="7"/>
  <c r="B138" i="7"/>
  <c r="B93" i="7"/>
  <c r="B120" i="7"/>
  <c r="B75" i="7"/>
  <c r="B165" i="7"/>
  <c r="B84" i="7"/>
  <c r="B15" i="7"/>
  <c r="B129" i="7"/>
  <c r="W14" i="4" l="1"/>
  <c r="W10" i="4"/>
  <c r="W13" i="4"/>
  <c r="W9" i="4"/>
  <c r="W12" i="4"/>
  <c r="W8" i="4"/>
  <c r="W11" i="4"/>
  <c r="D22" i="7"/>
  <c r="F22" i="7"/>
  <c r="R22" i="7"/>
  <c r="T22" i="7"/>
  <c r="U22" i="7"/>
  <c r="V22" i="7"/>
  <c r="A163" i="7"/>
  <c r="A154" i="7"/>
  <c r="A145" i="7"/>
  <c r="A136" i="7"/>
  <c r="A127" i="7"/>
  <c r="A118" i="7"/>
  <c r="A109" i="7"/>
  <c r="A100" i="7"/>
  <c r="A91" i="7"/>
  <c r="A82" i="7"/>
  <c r="A73" i="7"/>
  <c r="D163" i="7"/>
  <c r="F163" i="7"/>
  <c r="R163" i="7"/>
  <c r="T163" i="7"/>
  <c r="U163" i="7"/>
  <c r="V163" i="7"/>
  <c r="D154" i="7"/>
  <c r="F154" i="7"/>
  <c r="R154" i="7"/>
  <c r="T154" i="7"/>
  <c r="U154" i="7"/>
  <c r="V154" i="7"/>
  <c r="D145" i="7"/>
  <c r="F145" i="7"/>
  <c r="R145" i="7"/>
  <c r="T145" i="7"/>
  <c r="U145" i="7"/>
  <c r="V145" i="7"/>
  <c r="D136" i="7"/>
  <c r="F136" i="7"/>
  <c r="R136" i="7"/>
  <c r="T136" i="7"/>
  <c r="U136" i="7"/>
  <c r="V136" i="7"/>
  <c r="D127" i="7"/>
  <c r="F127" i="7"/>
  <c r="R127" i="7"/>
  <c r="T127" i="7"/>
  <c r="U127" i="7"/>
  <c r="V127" i="7"/>
  <c r="D118" i="7"/>
  <c r="F118" i="7"/>
  <c r="R118" i="7"/>
  <c r="T118" i="7"/>
  <c r="U118" i="7"/>
  <c r="V118" i="7"/>
  <c r="D109" i="7"/>
  <c r="F109" i="7"/>
  <c r="R109" i="7"/>
  <c r="T109" i="7"/>
  <c r="U109" i="7"/>
  <c r="V109" i="7"/>
  <c r="D100" i="7"/>
  <c r="F100" i="7"/>
  <c r="R100" i="7"/>
  <c r="T100" i="7"/>
  <c r="U100" i="7"/>
  <c r="V100" i="7"/>
  <c r="D91" i="7"/>
  <c r="F91" i="7"/>
  <c r="R91" i="7"/>
  <c r="T91" i="7"/>
  <c r="U91" i="7"/>
  <c r="V91" i="7"/>
  <c r="D82" i="7"/>
  <c r="F82" i="7"/>
  <c r="R82" i="7"/>
  <c r="T82" i="7"/>
  <c r="U82" i="7"/>
  <c r="V82" i="7"/>
  <c r="D73" i="7"/>
  <c r="F73" i="7"/>
  <c r="R73" i="7"/>
  <c r="T73" i="7"/>
  <c r="U73" i="7"/>
  <c r="V73" i="7"/>
  <c r="D7" i="11"/>
  <c r="A70" i="7"/>
  <c r="A67" i="7"/>
  <c r="A64" i="7"/>
  <c r="A61" i="7"/>
  <c r="A58" i="7"/>
  <c r="A55" i="7"/>
  <c r="A52" i="7"/>
  <c r="A49" i="7"/>
  <c r="A46" i="7"/>
  <c r="D70" i="7"/>
  <c r="F70" i="7"/>
  <c r="T70" i="7"/>
  <c r="U70" i="7"/>
  <c r="V70" i="7"/>
  <c r="D67" i="7"/>
  <c r="F67" i="7"/>
  <c r="T67" i="7"/>
  <c r="U67" i="7"/>
  <c r="V67" i="7"/>
  <c r="D61" i="7"/>
  <c r="F61" i="7"/>
  <c r="T61" i="7"/>
  <c r="U61" i="7"/>
  <c r="V61" i="7"/>
  <c r="D64" i="7"/>
  <c r="F64" i="7"/>
  <c r="T64" i="7"/>
  <c r="U64" i="7"/>
  <c r="V64" i="7"/>
  <c r="D58" i="7"/>
  <c r="F58" i="7"/>
  <c r="T58" i="7"/>
  <c r="U58" i="7"/>
  <c r="V58" i="7"/>
  <c r="D55" i="7"/>
  <c r="F55" i="7"/>
  <c r="T55" i="7"/>
  <c r="U55" i="7"/>
  <c r="V55" i="7"/>
  <c r="D52" i="7"/>
  <c r="F52" i="7"/>
  <c r="T52" i="7"/>
  <c r="U52" i="7"/>
  <c r="V52" i="7"/>
  <c r="D49" i="7"/>
  <c r="F49" i="7"/>
  <c r="T49" i="7"/>
  <c r="U49" i="7"/>
  <c r="V49" i="7"/>
  <c r="D46" i="7"/>
  <c r="F46" i="7"/>
  <c r="T46" i="7"/>
  <c r="U46" i="7"/>
  <c r="V46" i="7"/>
  <c r="A43" i="7"/>
  <c r="D43" i="7"/>
  <c r="F43" i="7"/>
  <c r="R43" i="7"/>
  <c r="T43" i="7"/>
  <c r="U43" i="7"/>
  <c r="V43" i="7"/>
  <c r="A172" i="7"/>
  <c r="D172" i="7"/>
  <c r="F172" i="7"/>
  <c r="R172" i="7"/>
  <c r="T172" i="7"/>
  <c r="U172" i="7"/>
  <c r="V172" i="7"/>
  <c r="A31" i="7"/>
  <c r="D31" i="7"/>
  <c r="F31" i="7"/>
  <c r="H31" i="7"/>
  <c r="K31" i="7"/>
  <c r="J31" i="7" s="1"/>
  <c r="R31" i="7"/>
  <c r="T31" i="7"/>
  <c r="U31" i="7"/>
  <c r="V31" i="7"/>
  <c r="A30" i="7"/>
  <c r="D30" i="7"/>
  <c r="F30" i="7"/>
  <c r="H30" i="7"/>
  <c r="K30" i="7"/>
  <c r="J30" i="7" s="1"/>
  <c r="R30" i="7"/>
  <c r="T30" i="7"/>
  <c r="U30" i="7"/>
  <c r="V30" i="7"/>
  <c r="B58" i="7"/>
  <c r="B154" i="7"/>
  <c r="B127" i="7"/>
  <c r="B145" i="7"/>
  <c r="B64" i="7"/>
  <c r="B82" i="7"/>
  <c r="B70" i="7"/>
  <c r="B30" i="7"/>
  <c r="B61" i="7"/>
  <c r="B172" i="7"/>
  <c r="B49" i="7"/>
  <c r="B31" i="7"/>
  <c r="B67" i="7"/>
  <c r="B163" i="7"/>
  <c r="B43" i="7"/>
  <c r="B73" i="7"/>
  <c r="B136" i="7"/>
  <c r="B100" i="7"/>
  <c r="B118" i="7"/>
  <c r="B46" i="7"/>
  <c r="B55" i="7"/>
  <c r="B91" i="7"/>
  <c r="B22" i="7"/>
  <c r="B109" i="7"/>
  <c r="B52" i="7"/>
  <c r="W16" i="4" l="1"/>
  <c r="A15" i="7" s="1"/>
  <c r="E20" i="15"/>
  <c r="E21" i="15"/>
  <c r="E29" i="15"/>
  <c r="E37" i="15"/>
  <c r="E38" i="15"/>
  <c r="E43" i="15"/>
  <c r="E22" i="15"/>
  <c r="E6" i="15"/>
  <c r="A8" i="7"/>
  <c r="E210" i="8"/>
  <c r="J210" i="8" s="1"/>
  <c r="E211" i="8"/>
  <c r="J211" i="8" s="1"/>
  <c r="E212" i="8"/>
  <c r="H212" i="8" s="1"/>
  <c r="F210" i="8"/>
  <c r="F211" i="8"/>
  <c r="F212" i="8"/>
  <c r="D61" i="8"/>
  <c r="D201" i="8"/>
  <c r="D96" i="8"/>
  <c r="D99" i="8"/>
  <c r="D110" i="8"/>
  <c r="D33" i="8"/>
  <c r="D180" i="8"/>
  <c r="D162" i="8"/>
  <c r="D60" i="8"/>
  <c r="D46" i="8"/>
  <c r="D56" i="8"/>
  <c r="D147" i="8"/>
  <c r="D23" i="8"/>
  <c r="D48" i="8"/>
  <c r="D168" i="8"/>
  <c r="D131" i="8"/>
  <c r="D109" i="8"/>
  <c r="D146" i="8"/>
  <c r="D164" i="8"/>
  <c r="D115" i="8"/>
  <c r="D9" i="8"/>
  <c r="D208" i="8"/>
  <c r="D170" i="8"/>
  <c r="D207" i="8"/>
  <c r="D194" i="8"/>
  <c r="D32" i="8"/>
  <c r="D185" i="8"/>
  <c r="D15" i="8"/>
  <c r="D59" i="8"/>
  <c r="D135" i="8"/>
  <c r="D200" i="8"/>
  <c r="D88" i="8"/>
  <c r="D173" i="8"/>
  <c r="D106" i="8"/>
  <c r="D182" i="8"/>
  <c r="D132" i="8"/>
  <c r="D10" i="8"/>
  <c r="D149" i="8"/>
  <c r="D184" i="8"/>
  <c r="D101" i="8"/>
  <c r="D127" i="8"/>
  <c r="D8" i="8"/>
  <c r="D17" i="8"/>
  <c r="D92" i="8"/>
  <c r="D105" i="8"/>
  <c r="D7" i="8"/>
  <c r="D202" i="8"/>
  <c r="D83" i="8"/>
  <c r="D142" i="8"/>
  <c r="D165" i="8"/>
  <c r="D42" i="8"/>
  <c r="D14" i="8"/>
  <c r="D41" i="8"/>
  <c r="D171" i="8"/>
  <c r="D67" i="8"/>
  <c r="D172" i="8"/>
  <c r="D35" i="8"/>
  <c r="D189" i="8"/>
  <c r="D209" i="8"/>
  <c r="D122" i="8"/>
  <c r="D4" i="8"/>
  <c r="D145" i="8"/>
  <c r="D121" i="8"/>
  <c r="D136" i="8"/>
  <c r="D90" i="8"/>
  <c r="D49" i="8"/>
  <c r="D53" i="8"/>
  <c r="D117" i="8"/>
  <c r="D40" i="8"/>
  <c r="D28" i="8"/>
  <c r="D69" i="8"/>
  <c r="D63" i="8"/>
  <c r="D167" i="8"/>
  <c r="D94" i="8"/>
  <c r="D126" i="8"/>
  <c r="D143" i="8"/>
  <c r="D195" i="8"/>
  <c r="D52" i="8"/>
  <c r="D199" i="8"/>
  <c r="D156" i="8"/>
  <c r="D64" i="8"/>
  <c r="D11" i="8"/>
  <c r="D157" i="8"/>
  <c r="D118" i="8"/>
  <c r="D74" i="8"/>
  <c r="D141" i="8"/>
  <c r="D79" i="8"/>
  <c r="D100" i="8"/>
  <c r="D169" i="8"/>
  <c r="D85" i="8"/>
  <c r="D87" i="8"/>
  <c r="D196" i="8"/>
  <c r="D107" i="8"/>
  <c r="D151" i="8"/>
  <c r="D95" i="8"/>
  <c r="D133" i="8"/>
  <c r="D124" i="8"/>
  <c r="D163" i="8"/>
  <c r="D77" i="8"/>
  <c r="D47" i="8"/>
  <c r="D65" i="8"/>
  <c r="D193" i="8"/>
  <c r="D24" i="8"/>
  <c r="D183" i="8"/>
  <c r="D58" i="8"/>
  <c r="D139" i="8"/>
  <c r="D29" i="8"/>
  <c r="D84" i="8"/>
  <c r="D86" i="8"/>
  <c r="D104" i="8"/>
  <c r="D205" i="8"/>
  <c r="D123" i="8"/>
  <c r="D155" i="8"/>
  <c r="D97" i="8"/>
  <c r="D43" i="8"/>
  <c r="D22" i="8"/>
  <c r="D192" i="8"/>
  <c r="D137" i="8"/>
  <c r="D144" i="8"/>
  <c r="D89" i="8"/>
  <c r="D161" i="8"/>
  <c r="D174" i="8"/>
  <c r="D150" i="8"/>
  <c r="D134" i="8"/>
  <c r="D176" i="8"/>
  <c r="D51" i="8"/>
  <c r="D129" i="8"/>
  <c r="D153" i="8"/>
  <c r="D119" i="8"/>
  <c r="D114" i="8"/>
  <c r="D6" i="8"/>
  <c r="D5" i="8"/>
  <c r="D166" i="8"/>
  <c r="D179" i="8"/>
  <c r="D45" i="8"/>
  <c r="D13" i="8"/>
  <c r="D82" i="8"/>
  <c r="D116" i="8"/>
  <c r="D130" i="8"/>
  <c r="D55" i="8"/>
  <c r="D30" i="8"/>
  <c r="D27" i="8"/>
  <c r="D187" i="8"/>
  <c r="D154" i="8"/>
  <c r="D66" i="8"/>
  <c r="D108" i="8"/>
  <c r="D57" i="8"/>
  <c r="D54" i="8"/>
  <c r="D91" i="8"/>
  <c r="D148" i="8"/>
  <c r="D62" i="8"/>
  <c r="D31" i="8"/>
  <c r="D12" i="8"/>
  <c r="D26" i="8"/>
  <c r="D140" i="8"/>
  <c r="D78" i="8"/>
  <c r="D152" i="8"/>
  <c r="D188" i="8"/>
  <c r="D25" i="8"/>
  <c r="D177" i="8"/>
  <c r="D44" i="8"/>
  <c r="D112" i="8"/>
  <c r="D175" i="8"/>
  <c r="D113" i="8"/>
  <c r="D159" i="8"/>
  <c r="D120" i="8"/>
  <c r="D93" i="8"/>
  <c r="D128" i="8"/>
  <c r="D186" i="8"/>
  <c r="D39" i="8"/>
  <c r="D68" i="8"/>
  <c r="D160" i="8"/>
  <c r="D191" i="8"/>
  <c r="D18" i="8"/>
  <c r="D20" i="8"/>
  <c r="D125" i="8"/>
  <c r="D178" i="8"/>
  <c r="D138" i="8"/>
  <c r="D50" i="8"/>
  <c r="D16" i="8"/>
  <c r="D102" i="8"/>
  <c r="D19" i="8"/>
  <c r="D111" i="8"/>
  <c r="D190" i="8"/>
  <c r="D34" i="8"/>
  <c r="D181" i="8"/>
  <c r="D158" i="8"/>
  <c r="G212" i="8" l="1"/>
  <c r="J212" i="8"/>
  <c r="I212" i="8"/>
  <c r="H210" i="8"/>
  <c r="I211" i="8"/>
  <c r="K212" i="8"/>
  <c r="I210" i="8"/>
  <c r="G210" i="8"/>
  <c r="K210" i="8" s="1"/>
  <c r="G211" i="8"/>
  <c r="H211" i="8"/>
  <c r="D7" i="7"/>
  <c r="F7" i="7"/>
  <c r="H7" i="7"/>
  <c r="K7" i="7"/>
  <c r="J7" i="7" s="1"/>
  <c r="R7" i="7"/>
  <c r="T7" i="7"/>
  <c r="U7" i="7"/>
  <c r="V7" i="7"/>
  <c r="B7" i="7"/>
  <c r="K211" i="8" l="1"/>
  <c r="D39" i="5"/>
  <c r="D40" i="5"/>
  <c r="D41" i="5"/>
  <c r="F41" i="5" s="1"/>
  <c r="D42" i="5"/>
  <c r="F42" i="5" s="1"/>
  <c r="D43" i="5"/>
  <c r="F43" i="5" s="1"/>
  <c r="D44" i="5"/>
  <c r="F44" i="5" s="1"/>
  <c r="D45" i="5"/>
  <c r="F45" i="5" s="1"/>
  <c r="D46" i="5"/>
  <c r="F46" i="5" s="1"/>
  <c r="D47" i="5"/>
  <c r="F47" i="5" s="1"/>
  <c r="D48" i="5"/>
  <c r="F48" i="5" s="1"/>
  <c r="D49" i="5"/>
  <c r="E207" i="8"/>
  <c r="I207" i="8" s="1"/>
  <c r="E208" i="8"/>
  <c r="J208" i="8" s="1"/>
  <c r="E209" i="8"/>
  <c r="G209" i="8" s="1"/>
  <c r="F207" i="8"/>
  <c r="F208" i="8"/>
  <c r="F209" i="8"/>
  <c r="B47" i="9"/>
  <c r="A18" i="7"/>
  <c r="B10" i="17"/>
  <c r="F3" i="17"/>
  <c r="G3" i="17" s="1"/>
  <c r="D14" i="18"/>
  <c r="D9" i="18"/>
  <c r="D10" i="18"/>
  <c r="D11" i="18"/>
  <c r="D12" i="18"/>
  <c r="D13" i="18"/>
  <c r="D8" i="18"/>
  <c r="D7"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8" i="18"/>
  <c r="B7" i="18"/>
  <c r="F40" i="5"/>
  <c r="F49" i="5"/>
  <c r="F39" i="5"/>
  <c r="D21" i="8"/>
  <c r="H209" i="8" l="1"/>
  <c r="J207" i="8"/>
  <c r="G207" i="8"/>
  <c r="K207" i="8" s="1"/>
  <c r="H208" i="8"/>
  <c r="H207" i="8"/>
  <c r="G208" i="8"/>
  <c r="I208" i="8"/>
  <c r="F52" i="5"/>
  <c r="I209" i="8"/>
  <c r="K208" i="8"/>
  <c r="J209" i="8"/>
  <c r="K209" i="8" s="1"/>
  <c r="E204" i="8"/>
  <c r="I204" i="8" s="1"/>
  <c r="E205" i="8"/>
  <c r="J205" i="8" s="1"/>
  <c r="E206" i="8"/>
  <c r="I206" i="8" s="1"/>
  <c r="F204" i="8"/>
  <c r="F205" i="8"/>
  <c r="F206" i="8"/>
  <c r="G206" i="8"/>
  <c r="D73" i="8"/>
  <c r="H204" i="8" l="1"/>
  <c r="I205" i="8"/>
  <c r="J206" i="8"/>
  <c r="J204" i="8"/>
  <c r="G204" i="8"/>
  <c r="H206" i="8"/>
  <c r="G205" i="8"/>
  <c r="H205" i="8"/>
  <c r="K47" i="9"/>
  <c r="B25" i="5"/>
  <c r="G25" i="5"/>
  <c r="L25" i="5"/>
  <c r="M25" i="5" s="1"/>
  <c r="K204" i="8" l="1"/>
  <c r="K206" i="8"/>
  <c r="K205" i="8"/>
  <c r="G7" i="11"/>
  <c r="D8" i="7"/>
  <c r="D9" i="7"/>
  <c r="D10" i="7"/>
  <c r="D11" i="7"/>
  <c r="D12" i="7"/>
  <c r="D13" i="7"/>
  <c r="D14" i="7"/>
  <c r="D16" i="7"/>
  <c r="D17" i="7"/>
  <c r="D18" i="7"/>
  <c r="D19" i="7"/>
  <c r="D20" i="7"/>
  <c r="D21" i="7"/>
  <c r="D23" i="7"/>
  <c r="D24" i="7"/>
  <c r="D25" i="7"/>
  <c r="D26" i="7"/>
  <c r="D27" i="7"/>
  <c r="D28" i="7"/>
  <c r="D29" i="7"/>
  <c r="D32" i="7"/>
  <c r="D33" i="7"/>
  <c r="D34" i="7"/>
  <c r="D35" i="7"/>
  <c r="D36" i="7"/>
  <c r="D37" i="7"/>
  <c r="D38" i="7"/>
  <c r="D39" i="7"/>
  <c r="D40" i="7"/>
  <c r="D41" i="7"/>
  <c r="D42" i="7"/>
  <c r="D44" i="7"/>
  <c r="D45" i="7"/>
  <c r="D47" i="7"/>
  <c r="D48" i="7"/>
  <c r="D50" i="7"/>
  <c r="D51" i="7"/>
  <c r="D53" i="7"/>
  <c r="D54" i="7"/>
  <c r="D56" i="7"/>
  <c r="D57" i="7"/>
  <c r="D59" i="7"/>
  <c r="D60" i="7"/>
  <c r="D62" i="7"/>
  <c r="D63" i="7"/>
  <c r="D65" i="7"/>
  <c r="D66" i="7"/>
  <c r="D68" i="7"/>
  <c r="D69" i="7"/>
  <c r="D71" i="7"/>
  <c r="D72" i="7"/>
  <c r="D74" i="7"/>
  <c r="D76" i="7"/>
  <c r="D77" i="7"/>
  <c r="D78" i="7"/>
  <c r="D79" i="7"/>
  <c r="D80" i="7"/>
  <c r="D81" i="7"/>
  <c r="D83" i="7"/>
  <c r="D85" i="7"/>
  <c r="D86" i="7"/>
  <c r="D87" i="7"/>
  <c r="D88" i="7"/>
  <c r="D89" i="7"/>
  <c r="D90" i="7"/>
  <c r="D92" i="7"/>
  <c r="D94" i="7"/>
  <c r="D95" i="7"/>
  <c r="D96" i="7"/>
  <c r="D97" i="7"/>
  <c r="D98" i="7"/>
  <c r="D99" i="7"/>
  <c r="D101" i="7"/>
  <c r="D103" i="7"/>
  <c r="D104" i="7"/>
  <c r="D105" i="7"/>
  <c r="D106" i="7"/>
  <c r="D107" i="7"/>
  <c r="D108" i="7"/>
  <c r="D110" i="7"/>
  <c r="D112" i="7"/>
  <c r="D113" i="7"/>
  <c r="D114" i="7"/>
  <c r="D115" i="7"/>
  <c r="D116" i="7"/>
  <c r="D117" i="7"/>
  <c r="D119" i="7"/>
  <c r="D121" i="7"/>
  <c r="D122" i="7"/>
  <c r="D123" i="7"/>
  <c r="D124" i="7"/>
  <c r="D125" i="7"/>
  <c r="D126" i="7"/>
  <c r="D128" i="7"/>
  <c r="D130" i="7"/>
  <c r="D131" i="7"/>
  <c r="D132" i="7"/>
  <c r="D133" i="7"/>
  <c r="D134" i="7"/>
  <c r="D135" i="7"/>
  <c r="D137" i="7"/>
  <c r="D139" i="7"/>
  <c r="D140" i="7"/>
  <c r="D141" i="7"/>
  <c r="D142" i="7"/>
  <c r="D143" i="7"/>
  <c r="D144" i="7"/>
  <c r="D146" i="7"/>
  <c r="D148" i="7"/>
  <c r="D149" i="7"/>
  <c r="D150" i="7"/>
  <c r="D151" i="7"/>
  <c r="D152" i="7"/>
  <c r="D153" i="7"/>
  <c r="D155" i="7"/>
  <c r="D157" i="7"/>
  <c r="D158" i="7"/>
  <c r="D159" i="7"/>
  <c r="D160" i="7"/>
  <c r="D161" i="7"/>
  <c r="D162" i="7"/>
  <c r="D164" i="7"/>
  <c r="D166" i="7"/>
  <c r="D167" i="7"/>
  <c r="D168" i="7"/>
  <c r="D169" i="7"/>
  <c r="D170" i="7"/>
  <c r="D173" i="7"/>
  <c r="D174" i="7"/>
  <c r="D175" i="7"/>
  <c r="D176" i="7"/>
  <c r="D177" i="7"/>
  <c r="D180" i="7"/>
  <c r="D181" i="7"/>
  <c r="D182" i="7"/>
  <c r="D183" i="7"/>
  <c r="D178" i="7"/>
  <c r="D179" i="7"/>
  <c r="D171" i="7"/>
  <c r="D184" i="7"/>
  <c r="H4" i="7"/>
  <c r="F8" i="7"/>
  <c r="F9" i="7"/>
  <c r="F10" i="7"/>
  <c r="F11" i="7"/>
  <c r="F12" i="7"/>
  <c r="F13" i="7"/>
  <c r="F14" i="7"/>
  <c r="F16" i="7"/>
  <c r="F17" i="7"/>
  <c r="F18" i="7"/>
  <c r="F19" i="7"/>
  <c r="F20" i="7"/>
  <c r="F21" i="7"/>
  <c r="F23" i="7"/>
  <c r="F24" i="7"/>
  <c r="F25" i="7"/>
  <c r="F26" i="7"/>
  <c r="F27" i="7"/>
  <c r="F28" i="7"/>
  <c r="F29" i="7"/>
  <c r="F32" i="7"/>
  <c r="F33" i="7"/>
  <c r="F34" i="7"/>
  <c r="F35" i="7"/>
  <c r="F36" i="7"/>
  <c r="F37" i="7"/>
  <c r="F38" i="7"/>
  <c r="F39" i="7"/>
  <c r="F40" i="7"/>
  <c r="F41" i="7"/>
  <c r="F42" i="7"/>
  <c r="F44" i="7"/>
  <c r="F45" i="7"/>
  <c r="F47" i="7"/>
  <c r="F48" i="7"/>
  <c r="F50" i="7"/>
  <c r="F51" i="7"/>
  <c r="F53" i="7"/>
  <c r="F54" i="7"/>
  <c r="F56" i="7"/>
  <c r="F57" i="7"/>
  <c r="F59" i="7"/>
  <c r="F60" i="7"/>
  <c r="F62" i="7"/>
  <c r="F63" i="7"/>
  <c r="F65" i="7"/>
  <c r="F66" i="7"/>
  <c r="F68" i="7"/>
  <c r="F69" i="7"/>
  <c r="F71" i="7"/>
  <c r="F72" i="7"/>
  <c r="F74" i="7"/>
  <c r="F76" i="7"/>
  <c r="F77" i="7"/>
  <c r="F78" i="7"/>
  <c r="F79" i="7"/>
  <c r="F80" i="7"/>
  <c r="F81" i="7"/>
  <c r="F83" i="7"/>
  <c r="F85" i="7"/>
  <c r="F86" i="7"/>
  <c r="F87" i="7"/>
  <c r="F88" i="7"/>
  <c r="F89" i="7"/>
  <c r="F90" i="7"/>
  <c r="F92" i="7"/>
  <c r="F94" i="7"/>
  <c r="F95" i="7"/>
  <c r="F96" i="7"/>
  <c r="F97" i="7"/>
  <c r="F98" i="7"/>
  <c r="F99" i="7"/>
  <c r="F101" i="7"/>
  <c r="F103" i="7"/>
  <c r="F104" i="7"/>
  <c r="F105" i="7"/>
  <c r="F106" i="7"/>
  <c r="F107" i="7"/>
  <c r="F108" i="7"/>
  <c r="F110" i="7"/>
  <c r="F112" i="7"/>
  <c r="F113" i="7"/>
  <c r="F114" i="7"/>
  <c r="F115" i="7"/>
  <c r="F116" i="7"/>
  <c r="F117" i="7"/>
  <c r="F119" i="7"/>
  <c r="F121" i="7"/>
  <c r="F122" i="7"/>
  <c r="F123" i="7"/>
  <c r="F124" i="7"/>
  <c r="F125" i="7"/>
  <c r="F126" i="7"/>
  <c r="F128" i="7"/>
  <c r="F130" i="7"/>
  <c r="F131" i="7"/>
  <c r="F132" i="7"/>
  <c r="F133" i="7"/>
  <c r="F134" i="7"/>
  <c r="F135" i="7"/>
  <c r="F137" i="7"/>
  <c r="F139" i="7"/>
  <c r="F140" i="7"/>
  <c r="F141" i="7"/>
  <c r="F142" i="7"/>
  <c r="F143" i="7"/>
  <c r="F144" i="7"/>
  <c r="F146" i="7"/>
  <c r="F148" i="7"/>
  <c r="F149" i="7"/>
  <c r="F150" i="7"/>
  <c r="F151" i="7"/>
  <c r="F152" i="7"/>
  <c r="F153" i="7"/>
  <c r="F155" i="7"/>
  <c r="F157" i="7"/>
  <c r="F158" i="7"/>
  <c r="F159" i="7"/>
  <c r="F160" i="7"/>
  <c r="F161" i="7"/>
  <c r="F162" i="7"/>
  <c r="F164" i="7"/>
  <c r="F166" i="7"/>
  <c r="F167" i="7"/>
  <c r="F168" i="7"/>
  <c r="F169" i="7"/>
  <c r="F170" i="7"/>
  <c r="F173" i="7"/>
  <c r="F174" i="7"/>
  <c r="F175" i="7"/>
  <c r="F176" i="7"/>
  <c r="F177" i="7"/>
  <c r="F180" i="7"/>
  <c r="F181" i="7"/>
  <c r="F182" i="7"/>
  <c r="F183" i="7"/>
  <c r="F178" i="7"/>
  <c r="F179" i="7"/>
  <c r="F171" i="7"/>
  <c r="F184" i="7"/>
  <c r="E7" i="15"/>
  <c r="E8" i="15"/>
  <c r="E9" i="15"/>
  <c r="E10" i="15"/>
  <c r="E11" i="15"/>
  <c r="E12" i="15"/>
  <c r="E13" i="15"/>
  <c r="E14" i="15"/>
  <c r="E15" i="15"/>
  <c r="E16" i="15"/>
  <c r="E17" i="15"/>
  <c r="E18" i="15"/>
  <c r="H50" i="9" s="1"/>
  <c r="E19" i="15"/>
  <c r="X50" i="9" s="1"/>
  <c r="D81" i="8"/>
  <c r="D80" i="8"/>
  <c r="E39" i="15" l="1"/>
  <c r="B41" i="9"/>
  <c r="H25" i="9"/>
  <c r="E36" i="15"/>
  <c r="H41" i="9"/>
  <c r="E41" i="15"/>
  <c r="O11" i="9"/>
  <c r="E35" i="15"/>
  <c r="B26" i="9"/>
  <c r="E31" i="15"/>
  <c r="E33" i="15"/>
  <c r="H11" i="9"/>
  <c r="E42" i="15"/>
  <c r="P41" i="9"/>
  <c r="E32" i="15"/>
  <c r="B34" i="9"/>
  <c r="B46" i="9"/>
  <c r="E40" i="15"/>
  <c r="E34" i="15"/>
  <c r="H20" i="9"/>
  <c r="E30" i="15"/>
  <c r="B11" i="9"/>
  <c r="F4" i="7"/>
  <c r="E203" i="8"/>
  <c r="H203" i="8" s="1"/>
  <c r="F203" i="8"/>
  <c r="R174" i="7"/>
  <c r="B24" i="5"/>
  <c r="G24" i="5"/>
  <c r="L24" i="5"/>
  <c r="M24" i="5" s="1"/>
  <c r="B10" i="5"/>
  <c r="G10" i="5"/>
  <c r="L10" i="5"/>
  <c r="M10" i="5" s="1"/>
  <c r="V8" i="7"/>
  <c r="V9" i="7"/>
  <c r="V10" i="7"/>
  <c r="V11" i="7"/>
  <c r="V12" i="7"/>
  <c r="V13" i="7"/>
  <c r="V14" i="7"/>
  <c r="V16" i="7"/>
  <c r="V17" i="7"/>
  <c r="V18" i="7"/>
  <c r="V19" i="7"/>
  <c r="V20" i="7"/>
  <c r="V21" i="7"/>
  <c r="V23" i="7"/>
  <c r="V24" i="7"/>
  <c r="V25" i="7"/>
  <c r="V26" i="7"/>
  <c r="V27" i="7"/>
  <c r="V28" i="7"/>
  <c r="V29" i="7"/>
  <c r="V32" i="7"/>
  <c r="V33" i="7"/>
  <c r="V34" i="7"/>
  <c r="V35" i="7"/>
  <c r="V36" i="7"/>
  <c r="V37" i="7"/>
  <c r="V38" i="7"/>
  <c r="V39" i="7"/>
  <c r="V40" i="7"/>
  <c r="V41" i="7"/>
  <c r="V42" i="7"/>
  <c r="V44" i="7"/>
  <c r="V45" i="7"/>
  <c r="V47" i="7"/>
  <c r="V48" i="7"/>
  <c r="V50" i="7"/>
  <c r="V51" i="7"/>
  <c r="V53" i="7"/>
  <c r="V54" i="7"/>
  <c r="V56" i="7"/>
  <c r="V57" i="7"/>
  <c r="V59" i="7"/>
  <c r="V60" i="7"/>
  <c r="V62" i="7"/>
  <c r="V63" i="7"/>
  <c r="V65" i="7"/>
  <c r="V66" i="7"/>
  <c r="V68" i="7"/>
  <c r="V69" i="7"/>
  <c r="V71" i="7"/>
  <c r="V72" i="7"/>
  <c r="V74" i="7"/>
  <c r="V76" i="7"/>
  <c r="V77" i="7"/>
  <c r="V78" i="7"/>
  <c r="V79" i="7"/>
  <c r="V80" i="7"/>
  <c r="V81" i="7"/>
  <c r="V83" i="7"/>
  <c r="V85" i="7"/>
  <c r="V86" i="7"/>
  <c r="V87" i="7"/>
  <c r="V88" i="7"/>
  <c r="V89" i="7"/>
  <c r="V90" i="7"/>
  <c r="V92" i="7"/>
  <c r="V94" i="7"/>
  <c r="V95" i="7"/>
  <c r="V96" i="7"/>
  <c r="V97" i="7"/>
  <c r="V98" i="7"/>
  <c r="V99" i="7"/>
  <c r="V101" i="7"/>
  <c r="V103" i="7"/>
  <c r="V104" i="7"/>
  <c r="V105" i="7"/>
  <c r="V106" i="7"/>
  <c r="V107" i="7"/>
  <c r="V108" i="7"/>
  <c r="V110" i="7"/>
  <c r="V112" i="7"/>
  <c r="V113" i="7"/>
  <c r="V114" i="7"/>
  <c r="V115" i="7"/>
  <c r="V116" i="7"/>
  <c r="V117" i="7"/>
  <c r="V119" i="7"/>
  <c r="V121" i="7"/>
  <c r="V122" i="7"/>
  <c r="V123" i="7"/>
  <c r="V124" i="7"/>
  <c r="V125" i="7"/>
  <c r="V126" i="7"/>
  <c r="V128" i="7"/>
  <c r="V130" i="7"/>
  <c r="V131" i="7"/>
  <c r="V132" i="7"/>
  <c r="V133" i="7"/>
  <c r="V134" i="7"/>
  <c r="V135" i="7"/>
  <c r="V137" i="7"/>
  <c r="V139" i="7"/>
  <c r="V140" i="7"/>
  <c r="V141" i="7"/>
  <c r="V142" i="7"/>
  <c r="V143" i="7"/>
  <c r="V144" i="7"/>
  <c r="V146" i="7"/>
  <c r="V148" i="7"/>
  <c r="V149" i="7"/>
  <c r="V150" i="7"/>
  <c r="V151" i="7"/>
  <c r="V152" i="7"/>
  <c r="V153" i="7"/>
  <c r="V155" i="7"/>
  <c r="V157" i="7"/>
  <c r="V158" i="7"/>
  <c r="V159" i="7"/>
  <c r="V160" i="7"/>
  <c r="V161" i="7"/>
  <c r="V162" i="7"/>
  <c r="V164" i="7"/>
  <c r="V166" i="7"/>
  <c r="V167" i="7"/>
  <c r="V168" i="7"/>
  <c r="V169" i="7"/>
  <c r="V170" i="7"/>
  <c r="V173" i="7"/>
  <c r="V174" i="7"/>
  <c r="V175" i="7"/>
  <c r="V176" i="7"/>
  <c r="V177" i="7"/>
  <c r="V180" i="7"/>
  <c r="V181" i="7"/>
  <c r="V182" i="7"/>
  <c r="V183" i="7"/>
  <c r="V171" i="7"/>
  <c r="V184" i="7"/>
  <c r="U8" i="7"/>
  <c r="U9" i="7"/>
  <c r="U10" i="7"/>
  <c r="U11" i="7"/>
  <c r="U12" i="7"/>
  <c r="U13" i="7"/>
  <c r="U14" i="7"/>
  <c r="U16" i="7"/>
  <c r="U17" i="7"/>
  <c r="U18" i="7"/>
  <c r="U19" i="7"/>
  <c r="U20" i="7"/>
  <c r="U21" i="7"/>
  <c r="U23" i="7"/>
  <c r="U24" i="7"/>
  <c r="U25" i="7"/>
  <c r="U26" i="7"/>
  <c r="U27" i="7"/>
  <c r="U28" i="7"/>
  <c r="U29" i="7"/>
  <c r="U32" i="7"/>
  <c r="U33" i="7"/>
  <c r="U34" i="7"/>
  <c r="U35" i="7"/>
  <c r="U36" i="7"/>
  <c r="U37" i="7"/>
  <c r="U38" i="7"/>
  <c r="U39" i="7"/>
  <c r="U40" i="7"/>
  <c r="U41" i="7"/>
  <c r="U42" i="7"/>
  <c r="U44" i="7"/>
  <c r="U45" i="7"/>
  <c r="U47" i="7"/>
  <c r="U48" i="7"/>
  <c r="U50" i="7"/>
  <c r="U51" i="7"/>
  <c r="U53" i="7"/>
  <c r="U54" i="7"/>
  <c r="U56" i="7"/>
  <c r="U57" i="7"/>
  <c r="U59" i="7"/>
  <c r="U60" i="7"/>
  <c r="U62" i="7"/>
  <c r="U63" i="7"/>
  <c r="U65" i="7"/>
  <c r="U66" i="7"/>
  <c r="U68" i="7"/>
  <c r="U69" i="7"/>
  <c r="U71" i="7"/>
  <c r="U72" i="7"/>
  <c r="U74" i="7"/>
  <c r="U76" i="7"/>
  <c r="U77" i="7"/>
  <c r="U78" i="7"/>
  <c r="U79" i="7"/>
  <c r="U80" i="7"/>
  <c r="U81" i="7"/>
  <c r="U83" i="7"/>
  <c r="U85" i="7"/>
  <c r="U86" i="7"/>
  <c r="U87" i="7"/>
  <c r="U88" i="7"/>
  <c r="U89" i="7"/>
  <c r="U90" i="7"/>
  <c r="U92" i="7"/>
  <c r="U94" i="7"/>
  <c r="U95" i="7"/>
  <c r="U96" i="7"/>
  <c r="U97" i="7"/>
  <c r="U98" i="7"/>
  <c r="U99" i="7"/>
  <c r="U101" i="7"/>
  <c r="U103" i="7"/>
  <c r="U104" i="7"/>
  <c r="U105" i="7"/>
  <c r="U106" i="7"/>
  <c r="U107" i="7"/>
  <c r="U108" i="7"/>
  <c r="U110" i="7"/>
  <c r="U112" i="7"/>
  <c r="U113" i="7"/>
  <c r="U114" i="7"/>
  <c r="U115" i="7"/>
  <c r="U116" i="7"/>
  <c r="U117" i="7"/>
  <c r="U119" i="7"/>
  <c r="U121" i="7"/>
  <c r="U122" i="7"/>
  <c r="U123" i="7"/>
  <c r="U124" i="7"/>
  <c r="U125" i="7"/>
  <c r="U126" i="7"/>
  <c r="U128" i="7"/>
  <c r="U130" i="7"/>
  <c r="U131" i="7"/>
  <c r="U132" i="7"/>
  <c r="U133" i="7"/>
  <c r="U134" i="7"/>
  <c r="U135" i="7"/>
  <c r="U137" i="7"/>
  <c r="U139" i="7"/>
  <c r="U140" i="7"/>
  <c r="U141" i="7"/>
  <c r="U142" i="7"/>
  <c r="U143" i="7"/>
  <c r="U144" i="7"/>
  <c r="U146" i="7"/>
  <c r="U148" i="7"/>
  <c r="U149" i="7"/>
  <c r="U150" i="7"/>
  <c r="U151" i="7"/>
  <c r="U152" i="7"/>
  <c r="U153" i="7"/>
  <c r="U155" i="7"/>
  <c r="U157" i="7"/>
  <c r="U158" i="7"/>
  <c r="U159" i="7"/>
  <c r="U160" i="7"/>
  <c r="U161" i="7"/>
  <c r="U162" i="7"/>
  <c r="U164" i="7"/>
  <c r="U166" i="7"/>
  <c r="U167" i="7"/>
  <c r="U168" i="7"/>
  <c r="U169" i="7"/>
  <c r="U170" i="7"/>
  <c r="U173" i="7"/>
  <c r="U174" i="7"/>
  <c r="U175" i="7"/>
  <c r="U176" i="7"/>
  <c r="U177" i="7"/>
  <c r="U180" i="7"/>
  <c r="U181" i="7"/>
  <c r="U182" i="7"/>
  <c r="U183" i="7"/>
  <c r="U178" i="7"/>
  <c r="U179" i="7"/>
  <c r="U171" i="7"/>
  <c r="T8" i="7"/>
  <c r="T9" i="7"/>
  <c r="T10" i="7"/>
  <c r="T11" i="7"/>
  <c r="T12" i="7"/>
  <c r="T13" i="7"/>
  <c r="T14" i="7"/>
  <c r="T16" i="7"/>
  <c r="T17" i="7"/>
  <c r="T18" i="7"/>
  <c r="T19" i="7"/>
  <c r="T20" i="7"/>
  <c r="T21" i="7"/>
  <c r="T23" i="7"/>
  <c r="T24" i="7"/>
  <c r="T25" i="7"/>
  <c r="T26" i="7"/>
  <c r="T27" i="7"/>
  <c r="T28" i="7"/>
  <c r="T29" i="7"/>
  <c r="T32" i="7"/>
  <c r="T33" i="7"/>
  <c r="T34" i="7"/>
  <c r="T35" i="7"/>
  <c r="T36" i="7"/>
  <c r="T37" i="7"/>
  <c r="T38" i="7"/>
  <c r="T39" i="7"/>
  <c r="T40" i="7"/>
  <c r="T41" i="7"/>
  <c r="T42" i="7"/>
  <c r="T44" i="7"/>
  <c r="T45" i="7"/>
  <c r="T47" i="7"/>
  <c r="T48" i="7"/>
  <c r="T50" i="7"/>
  <c r="T51" i="7"/>
  <c r="T53" i="7"/>
  <c r="T54" i="7"/>
  <c r="T56" i="7"/>
  <c r="T57" i="7"/>
  <c r="T59" i="7"/>
  <c r="T60" i="7"/>
  <c r="T62" i="7"/>
  <c r="T63" i="7"/>
  <c r="T65" i="7"/>
  <c r="T66" i="7"/>
  <c r="T68" i="7"/>
  <c r="T69" i="7"/>
  <c r="T71" i="7"/>
  <c r="T72" i="7"/>
  <c r="T74" i="7"/>
  <c r="T76" i="7"/>
  <c r="T77" i="7"/>
  <c r="T78" i="7"/>
  <c r="T79" i="7"/>
  <c r="T80" i="7"/>
  <c r="T81" i="7"/>
  <c r="T83" i="7"/>
  <c r="T85" i="7"/>
  <c r="T86" i="7"/>
  <c r="T87" i="7"/>
  <c r="T88" i="7"/>
  <c r="T89" i="7"/>
  <c r="T90" i="7"/>
  <c r="T92" i="7"/>
  <c r="T94" i="7"/>
  <c r="T95" i="7"/>
  <c r="T96" i="7"/>
  <c r="T97" i="7"/>
  <c r="T98" i="7"/>
  <c r="T99" i="7"/>
  <c r="T101" i="7"/>
  <c r="T103" i="7"/>
  <c r="T104" i="7"/>
  <c r="T105" i="7"/>
  <c r="T106" i="7"/>
  <c r="T107" i="7"/>
  <c r="T108" i="7"/>
  <c r="T110" i="7"/>
  <c r="T112" i="7"/>
  <c r="T113" i="7"/>
  <c r="T114" i="7"/>
  <c r="T115" i="7"/>
  <c r="T116" i="7"/>
  <c r="T117" i="7"/>
  <c r="T119" i="7"/>
  <c r="T121" i="7"/>
  <c r="T122" i="7"/>
  <c r="T123" i="7"/>
  <c r="T124" i="7"/>
  <c r="T125" i="7"/>
  <c r="T126" i="7"/>
  <c r="T128" i="7"/>
  <c r="T130" i="7"/>
  <c r="T131" i="7"/>
  <c r="T132" i="7"/>
  <c r="T133" i="7"/>
  <c r="T134" i="7"/>
  <c r="T135" i="7"/>
  <c r="T137" i="7"/>
  <c r="T139" i="7"/>
  <c r="T140" i="7"/>
  <c r="T141" i="7"/>
  <c r="T142" i="7"/>
  <c r="T143" i="7"/>
  <c r="T144" i="7"/>
  <c r="T146" i="7"/>
  <c r="T148" i="7"/>
  <c r="T149" i="7"/>
  <c r="T150" i="7"/>
  <c r="T151" i="7"/>
  <c r="T152" i="7"/>
  <c r="T153" i="7"/>
  <c r="T155" i="7"/>
  <c r="T157" i="7"/>
  <c r="T158" i="7"/>
  <c r="T159" i="7"/>
  <c r="T160" i="7"/>
  <c r="T161" i="7"/>
  <c r="T162" i="7"/>
  <c r="T164" i="7"/>
  <c r="T166" i="7"/>
  <c r="T167" i="7"/>
  <c r="T168" i="7"/>
  <c r="T169" i="7"/>
  <c r="T170" i="7"/>
  <c r="T174" i="7"/>
  <c r="T175" i="7"/>
  <c r="T176" i="7"/>
  <c r="T177" i="7"/>
  <c r="T180" i="7"/>
  <c r="T181" i="7"/>
  <c r="T182" i="7"/>
  <c r="T183" i="7"/>
  <c r="T178" i="7"/>
  <c r="T179" i="7"/>
  <c r="T171" i="7"/>
  <c r="T184" i="7"/>
  <c r="J203" i="8" l="1"/>
  <c r="G203" i="8"/>
  <c r="I203" i="8"/>
  <c r="R175" i="7"/>
  <c r="J177" i="7"/>
  <c r="E201" i="8"/>
  <c r="I201" i="8" s="1"/>
  <c r="E202" i="8"/>
  <c r="G202" i="8" s="1"/>
  <c r="F201" i="8"/>
  <c r="F202" i="8"/>
  <c r="R171" i="7"/>
  <c r="BC10" i="4"/>
  <c r="BD10" i="4" s="1"/>
  <c r="BC9" i="4"/>
  <c r="BD9" i="4" s="1"/>
  <c r="BC8" i="4"/>
  <c r="BD8" i="4" s="1"/>
  <c r="BC7" i="4"/>
  <c r="BD7" i="4" s="1"/>
  <c r="R176" i="7"/>
  <c r="B179" i="7"/>
  <c r="B171" i="7"/>
  <c r="B175" i="7"/>
  <c r="B176" i="7"/>
  <c r="B174" i="7"/>
  <c r="K203" i="8" l="1"/>
  <c r="G201" i="8"/>
  <c r="J201" i="8"/>
  <c r="H202" i="8"/>
  <c r="I202" i="8"/>
  <c r="H201" i="8"/>
  <c r="K201" i="8" s="1"/>
  <c r="J202" i="8"/>
  <c r="A171" i="7"/>
  <c r="A176" i="7"/>
  <c r="A174" i="7"/>
  <c r="BB10" i="4"/>
  <c r="BB8" i="4"/>
  <c r="BB9" i="4"/>
  <c r="BB7" i="4"/>
  <c r="K202" i="8" l="1"/>
  <c r="H173" i="7" l="1"/>
  <c r="K173" i="7"/>
  <c r="J173" i="7" s="1"/>
  <c r="R173" i="7"/>
  <c r="B173" i="7"/>
  <c r="K8" i="4" l="1"/>
  <c r="K9" i="4"/>
  <c r="K10" i="4"/>
  <c r="K11" i="4"/>
  <c r="K12" i="4"/>
  <c r="H184" i="7"/>
  <c r="K184" i="7"/>
  <c r="J184" i="7" s="1"/>
  <c r="A177" i="7"/>
  <c r="R177" i="7"/>
  <c r="B178" i="7"/>
  <c r="B177" i="7"/>
  <c r="B184" i="7"/>
  <c r="R183" i="7" l="1"/>
  <c r="R182" i="7"/>
  <c r="R181" i="7"/>
  <c r="B182" i="7"/>
  <c r="B181" i="7"/>
  <c r="B183" i="7"/>
  <c r="A183" i="7" l="1"/>
  <c r="A182" i="7"/>
  <c r="A181" i="7"/>
  <c r="E196" i="8" l="1"/>
  <c r="G196" i="8" s="1"/>
  <c r="E197" i="8"/>
  <c r="H197" i="8" s="1"/>
  <c r="E198" i="8"/>
  <c r="G198" i="8" s="1"/>
  <c r="E199" i="8"/>
  <c r="J199" i="8" s="1"/>
  <c r="E200" i="8"/>
  <c r="G200" i="8" s="1"/>
  <c r="F196" i="8"/>
  <c r="F197" i="8"/>
  <c r="F198" i="8"/>
  <c r="F199" i="8"/>
  <c r="F200" i="8"/>
  <c r="R180" i="7"/>
  <c r="A164" i="7"/>
  <c r="A162" i="7"/>
  <c r="R162" i="7"/>
  <c r="R164" i="7"/>
  <c r="R166" i="7"/>
  <c r="R167" i="7"/>
  <c r="R168" i="7"/>
  <c r="R169" i="7"/>
  <c r="R170" i="7"/>
  <c r="A155" i="7"/>
  <c r="A153" i="7"/>
  <c r="R153" i="7"/>
  <c r="R155" i="7"/>
  <c r="R157" i="7"/>
  <c r="R158" i="7"/>
  <c r="R159" i="7"/>
  <c r="R160" i="7"/>
  <c r="R161" i="7"/>
  <c r="A146" i="7"/>
  <c r="A144" i="7"/>
  <c r="R152" i="7"/>
  <c r="R151" i="7"/>
  <c r="R150" i="7"/>
  <c r="R149" i="7"/>
  <c r="R148" i="7"/>
  <c r="R146" i="7"/>
  <c r="R144" i="7"/>
  <c r="A137" i="7"/>
  <c r="A135" i="7"/>
  <c r="R135" i="7"/>
  <c r="R137" i="7"/>
  <c r="R139" i="7"/>
  <c r="R140" i="7"/>
  <c r="R141" i="7"/>
  <c r="R142" i="7"/>
  <c r="R143" i="7"/>
  <c r="A128" i="7"/>
  <c r="A126" i="7"/>
  <c r="R126" i="7"/>
  <c r="R128" i="7"/>
  <c r="R130" i="7"/>
  <c r="R131" i="7"/>
  <c r="R132" i="7"/>
  <c r="R133" i="7"/>
  <c r="R134" i="7"/>
  <c r="A119" i="7"/>
  <c r="A117" i="7"/>
  <c r="R117" i="7"/>
  <c r="R119" i="7"/>
  <c r="R121" i="7"/>
  <c r="R122" i="7"/>
  <c r="R123" i="7"/>
  <c r="R124" i="7"/>
  <c r="R125" i="7"/>
  <c r="A110" i="7"/>
  <c r="A108" i="7"/>
  <c r="R108" i="7"/>
  <c r="R110" i="7"/>
  <c r="R112" i="7"/>
  <c r="R113" i="7"/>
  <c r="R114" i="7"/>
  <c r="R115" i="7"/>
  <c r="R116" i="7"/>
  <c r="B131" i="7"/>
  <c r="B153" i="7"/>
  <c r="B157" i="7"/>
  <c r="B168" i="7"/>
  <c r="B160" i="7"/>
  <c r="B108" i="7"/>
  <c r="B151" i="7"/>
  <c r="B132" i="7"/>
  <c r="B161" i="7"/>
  <c r="B170" i="7"/>
  <c r="B115" i="7"/>
  <c r="B164" i="7"/>
  <c r="B128" i="7"/>
  <c r="B155" i="7"/>
  <c r="B158" i="7"/>
  <c r="B144" i="7"/>
  <c r="B126" i="7"/>
  <c r="B112" i="7"/>
  <c r="B150" i="7"/>
  <c r="B113" i="7"/>
  <c r="B152" i="7"/>
  <c r="B139" i="7"/>
  <c r="B130" i="7"/>
  <c r="B116" i="7"/>
  <c r="B167" i="7"/>
  <c r="B123" i="7"/>
  <c r="B146" i="7"/>
  <c r="B119" i="7"/>
  <c r="B142" i="7"/>
  <c r="B117" i="7"/>
  <c r="B137" i="7"/>
  <c r="B140" i="7"/>
  <c r="B169" i="7"/>
  <c r="B162" i="7"/>
  <c r="B114" i="7"/>
  <c r="B125" i="7"/>
  <c r="B121" i="7"/>
  <c r="B159" i="7"/>
  <c r="B166" i="7"/>
  <c r="B133" i="7"/>
  <c r="B110" i="7"/>
  <c r="B149" i="7"/>
  <c r="B143" i="7"/>
  <c r="B124" i="7"/>
  <c r="B148" i="7"/>
  <c r="B135" i="7"/>
  <c r="B180" i="7"/>
  <c r="B122" i="7"/>
  <c r="B134" i="7"/>
  <c r="B141" i="7"/>
  <c r="J200" i="8" l="1"/>
  <c r="J196" i="8"/>
  <c r="H196" i="8"/>
  <c r="H200" i="8"/>
  <c r="I200" i="8"/>
  <c r="I196" i="8"/>
  <c r="J197" i="8"/>
  <c r="G197" i="8"/>
  <c r="J198" i="8"/>
  <c r="I198" i="8"/>
  <c r="A180" i="7"/>
  <c r="I199" i="8"/>
  <c r="I197" i="8"/>
  <c r="H199" i="8"/>
  <c r="H198" i="8"/>
  <c r="G199" i="8"/>
  <c r="A101" i="7"/>
  <c r="A99" i="7"/>
  <c r="R99" i="7"/>
  <c r="R101" i="7"/>
  <c r="R103" i="7"/>
  <c r="R104" i="7"/>
  <c r="R105" i="7"/>
  <c r="R106" i="7"/>
  <c r="R107" i="7"/>
  <c r="A92" i="7"/>
  <c r="A90" i="7"/>
  <c r="R90" i="7"/>
  <c r="R92" i="7"/>
  <c r="R94" i="7"/>
  <c r="R95" i="7"/>
  <c r="R96" i="7"/>
  <c r="R97" i="7"/>
  <c r="R98" i="7"/>
  <c r="A83" i="7"/>
  <c r="A81" i="7"/>
  <c r="R85" i="7"/>
  <c r="R86" i="7"/>
  <c r="R87" i="7"/>
  <c r="R88" i="7"/>
  <c r="R89" i="7"/>
  <c r="B107" i="7"/>
  <c r="B95" i="7"/>
  <c r="B88" i="7"/>
  <c r="B103" i="7"/>
  <c r="B96" i="7"/>
  <c r="B90" i="7"/>
  <c r="B106" i="7"/>
  <c r="B99" i="7"/>
  <c r="B87" i="7"/>
  <c r="B101" i="7"/>
  <c r="B104" i="7"/>
  <c r="B85" i="7"/>
  <c r="B97" i="7"/>
  <c r="B105" i="7"/>
  <c r="B98" i="7"/>
  <c r="B86" i="7"/>
  <c r="B94" i="7"/>
  <c r="B92" i="7"/>
  <c r="B89" i="7"/>
  <c r="K200" i="8" l="1"/>
  <c r="K196" i="8"/>
  <c r="K199" i="8"/>
  <c r="K198" i="8"/>
  <c r="K197" i="8"/>
  <c r="R81" i="7"/>
  <c r="B81" i="7"/>
  <c r="R80" i="7" l="1"/>
  <c r="R79" i="7"/>
  <c r="R83" i="7"/>
  <c r="R78" i="7"/>
  <c r="R77" i="7"/>
  <c r="B80" i="7"/>
  <c r="B77" i="7"/>
  <c r="B78" i="7"/>
  <c r="B79" i="7"/>
  <c r="B83" i="7"/>
  <c r="E130" i="8" l="1"/>
  <c r="E131" i="8"/>
  <c r="E132" i="8"/>
  <c r="K163" i="7" s="1"/>
  <c r="J163" i="7" s="1"/>
  <c r="E133" i="8"/>
  <c r="J133" i="8" s="1"/>
  <c r="E134" i="8"/>
  <c r="J134" i="8" s="1"/>
  <c r="E135" i="8"/>
  <c r="H135" i="8" s="1"/>
  <c r="E136" i="8"/>
  <c r="E137" i="8"/>
  <c r="E138" i="8"/>
  <c r="I138" i="8" s="1"/>
  <c r="E139" i="8"/>
  <c r="I139" i="8" s="1"/>
  <c r="E140" i="8"/>
  <c r="E141" i="8"/>
  <c r="I141" i="8" s="1"/>
  <c r="E142" i="8"/>
  <c r="H142" i="8" s="1"/>
  <c r="E143" i="8"/>
  <c r="I143" i="8" s="1"/>
  <c r="E144" i="8"/>
  <c r="K75" i="7" s="1"/>
  <c r="J75" i="7" s="1"/>
  <c r="E145" i="8"/>
  <c r="K84" i="7" s="1"/>
  <c r="J84" i="7" s="1"/>
  <c r="E146" i="8"/>
  <c r="E147" i="8"/>
  <c r="E148" i="8"/>
  <c r="K111" i="7" s="1"/>
  <c r="J111" i="7" s="1"/>
  <c r="E149" i="8"/>
  <c r="E150" i="8"/>
  <c r="E151" i="8"/>
  <c r="K138" i="7" s="1"/>
  <c r="J138" i="7" s="1"/>
  <c r="E152" i="8"/>
  <c r="K147" i="7" s="1"/>
  <c r="J147" i="7" s="1"/>
  <c r="E153" i="8"/>
  <c r="K156" i="7" s="1"/>
  <c r="J156" i="7" s="1"/>
  <c r="E154" i="8"/>
  <c r="E155" i="8"/>
  <c r="J155" i="8" s="1"/>
  <c r="E156" i="8"/>
  <c r="E157" i="8"/>
  <c r="J157" i="8" s="1"/>
  <c r="E158" i="8"/>
  <c r="H158" i="8" s="1"/>
  <c r="E159" i="8"/>
  <c r="I159" i="8" s="1"/>
  <c r="E160" i="8"/>
  <c r="E161" i="8"/>
  <c r="E162" i="8"/>
  <c r="J162" i="8" s="1"/>
  <c r="E163" i="8"/>
  <c r="J163" i="8" s="1"/>
  <c r="E164" i="8"/>
  <c r="E165" i="8"/>
  <c r="J165" i="8" s="1"/>
  <c r="E166" i="8"/>
  <c r="I166" i="8" s="1"/>
  <c r="E167" i="8"/>
  <c r="I167" i="8" s="1"/>
  <c r="E168" i="8"/>
  <c r="H168" i="8" s="1"/>
  <c r="E169" i="8"/>
  <c r="E170" i="8"/>
  <c r="I170" i="8" s="1"/>
  <c r="E171" i="8"/>
  <c r="I171" i="8" s="1"/>
  <c r="E172" i="8"/>
  <c r="E173" i="8"/>
  <c r="I173" i="8" s="1"/>
  <c r="E174" i="8"/>
  <c r="H174" i="8" s="1"/>
  <c r="E175" i="8"/>
  <c r="I175" i="8" s="1"/>
  <c r="E176" i="8"/>
  <c r="E177" i="8"/>
  <c r="E178" i="8"/>
  <c r="J178" i="8" s="1"/>
  <c r="E179" i="8"/>
  <c r="H179" i="8" s="1"/>
  <c r="E180" i="8"/>
  <c r="H180" i="8" s="1"/>
  <c r="E181" i="8"/>
  <c r="I181" i="8" s="1"/>
  <c r="E182" i="8"/>
  <c r="H182" i="8" s="1"/>
  <c r="E183" i="8"/>
  <c r="H183" i="8" s="1"/>
  <c r="E184" i="8"/>
  <c r="E185" i="8"/>
  <c r="I185" i="8" s="1"/>
  <c r="E186" i="8"/>
  <c r="I186" i="8" s="1"/>
  <c r="E187" i="8"/>
  <c r="H187" i="8" s="1"/>
  <c r="E188" i="8"/>
  <c r="H188" i="8" s="1"/>
  <c r="E189" i="8"/>
  <c r="J189" i="8" s="1"/>
  <c r="E190" i="8"/>
  <c r="H190" i="8" s="1"/>
  <c r="E191" i="8"/>
  <c r="H191" i="8" s="1"/>
  <c r="E192" i="8"/>
  <c r="H192" i="8" s="1"/>
  <c r="E193" i="8"/>
  <c r="J193" i="8" s="1"/>
  <c r="E194" i="8"/>
  <c r="J194" i="8" s="1"/>
  <c r="E195" i="8"/>
  <c r="H195" i="8" s="1"/>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H146" i="8"/>
  <c r="H166" i="8"/>
  <c r="H186" i="8"/>
  <c r="I162" i="8"/>
  <c r="I182" i="8"/>
  <c r="J138" i="8"/>
  <c r="J182" i="8"/>
  <c r="A74" i="7"/>
  <c r="R76" i="7"/>
  <c r="A72" i="7"/>
  <c r="R72" i="7"/>
  <c r="R74" i="7"/>
  <c r="B72" i="7"/>
  <c r="B76" i="7"/>
  <c r="B74" i="7"/>
  <c r="H149" i="8" l="1"/>
  <c r="K120" i="7"/>
  <c r="J120" i="7" s="1"/>
  <c r="I147" i="8"/>
  <c r="K102" i="7"/>
  <c r="J102" i="7" s="1"/>
  <c r="I131" i="8"/>
  <c r="K154" i="7"/>
  <c r="J154" i="7" s="1"/>
  <c r="I154" i="8"/>
  <c r="K165" i="7"/>
  <c r="J165" i="7" s="1"/>
  <c r="H150" i="8"/>
  <c r="K129" i="7"/>
  <c r="J129" i="7" s="1"/>
  <c r="J146" i="8"/>
  <c r="K93" i="7"/>
  <c r="J93" i="7" s="1"/>
  <c r="H130" i="8"/>
  <c r="K145" i="7"/>
  <c r="J145" i="7" s="1"/>
  <c r="J158" i="8"/>
  <c r="I142" i="8"/>
  <c r="J174" i="8"/>
  <c r="K174" i="8" s="1"/>
  <c r="J130" i="8"/>
  <c r="I158" i="8"/>
  <c r="J190" i="8"/>
  <c r="K190" i="8" s="1"/>
  <c r="J170" i="8"/>
  <c r="J150" i="8"/>
  <c r="K150" i="8" s="1"/>
  <c r="H129" i="7" s="1"/>
  <c r="I194" i="8"/>
  <c r="I174" i="8"/>
  <c r="I150" i="8"/>
  <c r="I130" i="8"/>
  <c r="H178" i="8"/>
  <c r="K178" i="8" s="1"/>
  <c r="H154" i="8"/>
  <c r="H134" i="8"/>
  <c r="K134" i="8" s="1"/>
  <c r="J154" i="8"/>
  <c r="I178" i="8"/>
  <c r="I134" i="8"/>
  <c r="H162" i="8"/>
  <c r="K162" i="8" s="1"/>
  <c r="H138" i="8"/>
  <c r="K138" i="8" s="1"/>
  <c r="J186" i="8"/>
  <c r="K186" i="8" s="1"/>
  <c r="J166" i="8"/>
  <c r="K166" i="8" s="1"/>
  <c r="J142" i="8"/>
  <c r="K142" i="8" s="1"/>
  <c r="I190" i="8"/>
  <c r="I146" i="8"/>
  <c r="H194" i="8"/>
  <c r="K194" i="8" s="1"/>
  <c r="H170" i="8"/>
  <c r="K170" i="8" s="1"/>
  <c r="H133" i="8"/>
  <c r="K133" i="8" s="1"/>
  <c r="J139" i="8"/>
  <c r="H165" i="8"/>
  <c r="K165" i="8" s="1"/>
  <c r="K164" i="7"/>
  <c r="J164" i="7" s="1"/>
  <c r="J175" i="8"/>
  <c r="I187" i="8"/>
  <c r="J167" i="8"/>
  <c r="I179" i="8"/>
  <c r="I155" i="8"/>
  <c r="J147" i="8"/>
  <c r="H184" i="8"/>
  <c r="K168" i="7"/>
  <c r="J168" i="7" s="1"/>
  <c r="J151" i="8"/>
  <c r="K167" i="7"/>
  <c r="J167" i="7" s="1"/>
  <c r="J143" i="8"/>
  <c r="I183" i="8"/>
  <c r="J179" i="8"/>
  <c r="K179" i="8" s="1"/>
  <c r="J171" i="8"/>
  <c r="I151" i="8"/>
  <c r="K150" i="7"/>
  <c r="J150" i="7" s="1"/>
  <c r="K114" i="7"/>
  <c r="J114" i="7" s="1"/>
  <c r="K169" i="7"/>
  <c r="J169" i="7" s="1"/>
  <c r="K78" i="7"/>
  <c r="J78" i="7" s="1"/>
  <c r="K142" i="7"/>
  <c r="J142" i="7" s="1"/>
  <c r="K106" i="7"/>
  <c r="J106" i="7" s="1"/>
  <c r="K134" i="7"/>
  <c r="J134" i="7" s="1"/>
  <c r="K98" i="7"/>
  <c r="J98" i="7" s="1"/>
  <c r="K158" i="7"/>
  <c r="J158" i="7" s="1"/>
  <c r="K122" i="7"/>
  <c r="J122" i="7" s="1"/>
  <c r="K86" i="7"/>
  <c r="J86" i="7" s="1"/>
  <c r="K146" i="7"/>
  <c r="J146" i="7" s="1"/>
  <c r="J135" i="8"/>
  <c r="K135" i="8" s="1"/>
  <c r="K159" i="7"/>
  <c r="J159" i="7" s="1"/>
  <c r="K123" i="7"/>
  <c r="J123" i="7" s="1"/>
  <c r="K87" i="7"/>
  <c r="J87" i="7" s="1"/>
  <c r="K151" i="7"/>
  <c r="J151" i="7" s="1"/>
  <c r="K115" i="7"/>
  <c r="J115" i="7" s="1"/>
  <c r="K170" i="7"/>
  <c r="J170" i="7" s="1"/>
  <c r="K79" i="7"/>
  <c r="J79" i="7" s="1"/>
  <c r="K143" i="7"/>
  <c r="J143" i="7" s="1"/>
  <c r="K107" i="7"/>
  <c r="J107" i="7" s="1"/>
  <c r="K131" i="7"/>
  <c r="J131" i="7" s="1"/>
  <c r="K95" i="7"/>
  <c r="J95" i="7" s="1"/>
  <c r="K155" i="7"/>
  <c r="J155" i="7" s="1"/>
  <c r="K119" i="7"/>
  <c r="J119" i="7" s="1"/>
  <c r="J195" i="8"/>
  <c r="K195" i="8" s="1"/>
  <c r="J187" i="8"/>
  <c r="K187" i="8" s="1"/>
  <c r="J181" i="8"/>
  <c r="J159" i="8"/>
  <c r="J131" i="8"/>
  <c r="I191" i="8"/>
  <c r="I163" i="8"/>
  <c r="I157" i="8"/>
  <c r="I135" i="8"/>
  <c r="H173" i="8"/>
  <c r="H141" i="8"/>
  <c r="K130" i="8"/>
  <c r="H145" i="7" s="1"/>
  <c r="H181" i="8"/>
  <c r="J191" i="8"/>
  <c r="K191" i="8" s="1"/>
  <c r="J183" i="8"/>
  <c r="K183" i="8" s="1"/>
  <c r="J149" i="8"/>
  <c r="K149" i="8" s="1"/>
  <c r="H120" i="7" s="1"/>
  <c r="I195" i="8"/>
  <c r="I189" i="8"/>
  <c r="H189" i="8"/>
  <c r="K189" i="8" s="1"/>
  <c r="H157" i="8"/>
  <c r="K157" i="8" s="1"/>
  <c r="K146" i="8"/>
  <c r="H93" i="7" s="1"/>
  <c r="J169" i="8"/>
  <c r="J137" i="8"/>
  <c r="I193" i="8"/>
  <c r="I145" i="8"/>
  <c r="H176" i="8"/>
  <c r="K141" i="7"/>
  <c r="J141" i="7" s="1"/>
  <c r="H172" i="8"/>
  <c r="K105" i="7"/>
  <c r="J105" i="7" s="1"/>
  <c r="H164" i="8"/>
  <c r="K133" i="7"/>
  <c r="J133" i="7" s="1"/>
  <c r="H152" i="8"/>
  <c r="K125" i="7"/>
  <c r="J125" i="7" s="1"/>
  <c r="H144" i="8"/>
  <c r="K149" i="7"/>
  <c r="J149" i="7" s="1"/>
  <c r="H132" i="8"/>
  <c r="K137" i="7"/>
  <c r="J137" i="7" s="1"/>
  <c r="J173" i="8"/>
  <c r="J141" i="8"/>
  <c r="I165" i="8"/>
  <c r="I149" i="8"/>
  <c r="I133" i="8"/>
  <c r="H193" i="8"/>
  <c r="K193" i="8" s="1"/>
  <c r="H185" i="8"/>
  <c r="H177" i="8"/>
  <c r="H169" i="8"/>
  <c r="H161" i="8"/>
  <c r="H153" i="8"/>
  <c r="H145" i="8"/>
  <c r="H137" i="8"/>
  <c r="K137" i="8" s="1"/>
  <c r="H175" i="8"/>
  <c r="K132" i="7"/>
  <c r="J132" i="7" s="1"/>
  <c r="H171" i="8"/>
  <c r="K96" i="7"/>
  <c r="J96" i="7" s="1"/>
  <c r="H167" i="8"/>
  <c r="K160" i="7"/>
  <c r="J160" i="7" s="1"/>
  <c r="H163" i="8"/>
  <c r="K163" i="8" s="1"/>
  <c r="K124" i="7"/>
  <c r="J124" i="7" s="1"/>
  <c r="H159" i="8"/>
  <c r="K88" i="7"/>
  <c r="J88" i="7" s="1"/>
  <c r="H155" i="8"/>
  <c r="K155" i="8" s="1"/>
  <c r="K152" i="7"/>
  <c r="J152" i="7" s="1"/>
  <c r="H151" i="8"/>
  <c r="K116" i="7"/>
  <c r="J116" i="7" s="1"/>
  <c r="H147" i="8"/>
  <c r="K80" i="7"/>
  <c r="J80" i="7" s="1"/>
  <c r="H143" i="8"/>
  <c r="K140" i="7"/>
  <c r="J140" i="7" s="1"/>
  <c r="H139" i="8"/>
  <c r="K104" i="7"/>
  <c r="J104" i="7" s="1"/>
  <c r="H131" i="8"/>
  <c r="K128" i="7"/>
  <c r="J128" i="7" s="1"/>
  <c r="J185" i="8"/>
  <c r="J153" i="8"/>
  <c r="I177" i="8"/>
  <c r="I161" i="8"/>
  <c r="H160" i="8"/>
  <c r="K97" i="7"/>
  <c r="J97" i="7" s="1"/>
  <c r="H156" i="8"/>
  <c r="K161" i="7"/>
  <c r="J161" i="7" s="1"/>
  <c r="H148" i="8"/>
  <c r="K89" i="7"/>
  <c r="J89" i="7" s="1"/>
  <c r="H140" i="8"/>
  <c r="K113" i="7"/>
  <c r="J113" i="7" s="1"/>
  <c r="H136" i="8"/>
  <c r="K77" i="7"/>
  <c r="J77" i="7" s="1"/>
  <c r="J177" i="8"/>
  <c r="J161" i="8"/>
  <c r="J145" i="8"/>
  <c r="I169" i="8"/>
  <c r="I153" i="8"/>
  <c r="I137" i="8"/>
  <c r="I192" i="8"/>
  <c r="I188" i="8"/>
  <c r="I184" i="8"/>
  <c r="I180" i="8"/>
  <c r="I176" i="8"/>
  <c r="I172" i="8"/>
  <c r="I168" i="8"/>
  <c r="I164" i="8"/>
  <c r="I160" i="8"/>
  <c r="I156" i="8"/>
  <c r="I152" i="8"/>
  <c r="I148" i="8"/>
  <c r="I144" i="8"/>
  <c r="I140" i="8"/>
  <c r="I136" i="8"/>
  <c r="I132" i="8"/>
  <c r="K182" i="8"/>
  <c r="K158" i="8"/>
  <c r="J192" i="8"/>
  <c r="K192" i="8" s="1"/>
  <c r="J188" i="8"/>
  <c r="K188" i="8" s="1"/>
  <c r="J184" i="8"/>
  <c r="J180" i="8"/>
  <c r="K180" i="8" s="1"/>
  <c r="J176" i="8"/>
  <c r="J172" i="8"/>
  <c r="J168" i="8"/>
  <c r="K168" i="8" s="1"/>
  <c r="J164" i="8"/>
  <c r="J160" i="8"/>
  <c r="J156" i="8"/>
  <c r="J152" i="8"/>
  <c r="J148" i="8"/>
  <c r="J144" i="8"/>
  <c r="J140" i="8"/>
  <c r="J136" i="8"/>
  <c r="J132" i="8"/>
  <c r="B19" i="9"/>
  <c r="H22" i="9"/>
  <c r="K175" i="8" l="1"/>
  <c r="K154" i="8"/>
  <c r="H165" i="7" s="1"/>
  <c r="K181" i="8"/>
  <c r="K139" i="8"/>
  <c r="K147" i="8"/>
  <c r="H102" i="7" s="1"/>
  <c r="K171" i="8"/>
  <c r="K140" i="8"/>
  <c r="K156" i="8"/>
  <c r="K132" i="8"/>
  <c r="H163" i="7" s="1"/>
  <c r="K151" i="8"/>
  <c r="H138" i="7" s="1"/>
  <c r="K145" i="8"/>
  <c r="H84" i="7" s="1"/>
  <c r="K141" i="8"/>
  <c r="K184" i="8"/>
  <c r="H159" i="7" s="1"/>
  <c r="K143" i="8"/>
  <c r="K167" i="8"/>
  <c r="K161" i="8"/>
  <c r="K177" i="8"/>
  <c r="H142" i="7"/>
  <c r="K131" i="8"/>
  <c r="H154" i="7" s="1"/>
  <c r="K169" i="8"/>
  <c r="H78" i="7" s="1"/>
  <c r="H98" i="7"/>
  <c r="H150" i="7"/>
  <c r="H161" i="7"/>
  <c r="K160" i="8"/>
  <c r="K173" i="8"/>
  <c r="K148" i="8"/>
  <c r="K136" i="8"/>
  <c r="H77" i="7" s="1"/>
  <c r="H123" i="7"/>
  <c r="K185" i="8"/>
  <c r="K159" i="8"/>
  <c r="K152" i="8"/>
  <c r="H147" i="7" s="1"/>
  <c r="K172" i="8"/>
  <c r="H105" i="7" s="1"/>
  <c r="K153" i="8"/>
  <c r="H156" i="7" s="1"/>
  <c r="K144" i="8"/>
  <c r="H75" i="7" s="1"/>
  <c r="K164" i="8"/>
  <c r="K176" i="8"/>
  <c r="H170" i="7" s="1"/>
  <c r="D8" i="11"/>
  <c r="K8" i="11"/>
  <c r="L8" i="11" s="1"/>
  <c r="K9" i="11"/>
  <c r="L9" i="11" s="1"/>
  <c r="H9" i="11"/>
  <c r="I9" i="11" s="1"/>
  <c r="H8" i="11"/>
  <c r="I8" i="11" s="1"/>
  <c r="H131" i="7" l="1"/>
  <c r="H111" i="7"/>
  <c r="H86" i="7"/>
  <c r="H115" i="7"/>
  <c r="H146" i="7"/>
  <c r="H107" i="7"/>
  <c r="H125" i="7"/>
  <c r="H106" i="7"/>
  <c r="H113" i="7"/>
  <c r="H122" i="7"/>
  <c r="H133" i="7"/>
  <c r="H137" i="7"/>
  <c r="H97" i="7"/>
  <c r="H141" i="7"/>
  <c r="H116" i="7"/>
  <c r="H140" i="7"/>
  <c r="H155" i="7"/>
  <c r="H149" i="7"/>
  <c r="H132" i="7"/>
  <c r="H143" i="7"/>
  <c r="H119" i="7"/>
  <c r="H168" i="7"/>
  <c r="H167" i="7"/>
  <c r="H158" i="7"/>
  <c r="H164" i="7"/>
  <c r="H134" i="7"/>
  <c r="H124" i="7"/>
  <c r="H95" i="7"/>
  <c r="H151" i="7"/>
  <c r="H87" i="7"/>
  <c r="H79" i="7"/>
  <c r="H80" i="7"/>
  <c r="H152" i="7"/>
  <c r="H96" i="7"/>
  <c r="H104" i="7"/>
  <c r="H160" i="7"/>
  <c r="H88" i="7"/>
  <c r="H114" i="7"/>
  <c r="H169" i="7"/>
  <c r="H89" i="7"/>
  <c r="H128" i="7"/>
  <c r="E115" i="8"/>
  <c r="E116" i="8"/>
  <c r="E117" i="8"/>
  <c r="I117" i="8" s="1"/>
  <c r="E118" i="8"/>
  <c r="E119" i="8"/>
  <c r="G119" i="8" s="1"/>
  <c r="E120" i="8"/>
  <c r="E121" i="8"/>
  <c r="E122" i="8"/>
  <c r="E123" i="8"/>
  <c r="K82" i="7" s="1"/>
  <c r="J82" i="7" s="1"/>
  <c r="E124" i="8"/>
  <c r="E125" i="8"/>
  <c r="E126" i="8"/>
  <c r="K109" i="7" s="1"/>
  <c r="J109" i="7" s="1"/>
  <c r="E127" i="8"/>
  <c r="E128" i="8"/>
  <c r="K127" i="7" s="1"/>
  <c r="J127" i="7" s="1"/>
  <c r="E129" i="8"/>
  <c r="F115" i="8"/>
  <c r="F116" i="8"/>
  <c r="F117" i="8"/>
  <c r="F118" i="8"/>
  <c r="F119" i="8"/>
  <c r="F120" i="8"/>
  <c r="F121" i="8"/>
  <c r="F122" i="8"/>
  <c r="F123" i="8"/>
  <c r="F124" i="8"/>
  <c r="F125" i="8"/>
  <c r="F126" i="8"/>
  <c r="F127" i="8"/>
  <c r="F128" i="8"/>
  <c r="F129" i="8"/>
  <c r="R37" i="7"/>
  <c r="R38" i="7"/>
  <c r="R39" i="7"/>
  <c r="E108" i="8"/>
  <c r="E109" i="8"/>
  <c r="E110" i="8"/>
  <c r="E111" i="8"/>
  <c r="E112" i="8"/>
  <c r="E113" i="8"/>
  <c r="J113" i="8" s="1"/>
  <c r="E114" i="8"/>
  <c r="F108" i="8"/>
  <c r="F109" i="8"/>
  <c r="F110" i="8"/>
  <c r="F111" i="8"/>
  <c r="F112" i="8"/>
  <c r="F113" i="8"/>
  <c r="F114" i="8"/>
  <c r="AP7" i="4"/>
  <c r="AN4" i="4"/>
  <c r="E104" i="8"/>
  <c r="E105" i="8"/>
  <c r="E106" i="8"/>
  <c r="E107" i="8"/>
  <c r="F104" i="8"/>
  <c r="F105" i="8"/>
  <c r="F106" i="8"/>
  <c r="F107" i="8"/>
  <c r="G104" i="8"/>
  <c r="G105" i="8"/>
  <c r="G106" i="8"/>
  <c r="G107" i="8"/>
  <c r="H104" i="8"/>
  <c r="H105" i="8"/>
  <c r="H106" i="8"/>
  <c r="H107" i="8"/>
  <c r="I104" i="8"/>
  <c r="I105" i="8"/>
  <c r="I106" i="8"/>
  <c r="I107" i="8"/>
  <c r="J104" i="8"/>
  <c r="K104" i="8" s="1"/>
  <c r="J105" i="8"/>
  <c r="K105" i="8" s="1"/>
  <c r="J106" i="8"/>
  <c r="J107" i="8"/>
  <c r="R17" i="7"/>
  <c r="R18" i="7"/>
  <c r="R19" i="7"/>
  <c r="E101" i="8"/>
  <c r="E102" i="8"/>
  <c r="E103" i="8"/>
  <c r="G103" i="8" s="1"/>
  <c r="F101" i="8"/>
  <c r="F102" i="8"/>
  <c r="F103" i="8"/>
  <c r="B39" i="7"/>
  <c r="B17" i="7"/>
  <c r="B38" i="7"/>
  <c r="B18" i="7"/>
  <c r="B19" i="7"/>
  <c r="B37" i="7"/>
  <c r="K166" i="7" l="1"/>
  <c r="J166" i="7" s="1"/>
  <c r="K136" i="7"/>
  <c r="J136" i="7" s="1"/>
  <c r="G125" i="8"/>
  <c r="K100" i="7"/>
  <c r="J100" i="7" s="1"/>
  <c r="J102" i="8"/>
  <c r="K70" i="7"/>
  <c r="J70" i="7" s="1"/>
  <c r="J124" i="8"/>
  <c r="K91" i="7"/>
  <c r="J91" i="7" s="1"/>
  <c r="J101" i="8"/>
  <c r="K67" i="7"/>
  <c r="J67" i="7" s="1"/>
  <c r="G127" i="8"/>
  <c r="K118" i="7"/>
  <c r="J118" i="7" s="1"/>
  <c r="H122" i="8"/>
  <c r="K73" i="7"/>
  <c r="J73" i="7" s="1"/>
  <c r="H119" i="8"/>
  <c r="K108" i="7"/>
  <c r="J108" i="7" s="1"/>
  <c r="H103" i="8"/>
  <c r="K99" i="7"/>
  <c r="J99" i="7" s="1"/>
  <c r="I129" i="8"/>
  <c r="K162" i="7"/>
  <c r="J162" i="7" s="1"/>
  <c r="K106" i="8"/>
  <c r="K90" i="7"/>
  <c r="J90" i="7" s="1"/>
  <c r="J112" i="8"/>
  <c r="K153" i="7"/>
  <c r="J153" i="7" s="1"/>
  <c r="G108" i="8"/>
  <c r="K117" i="7"/>
  <c r="J117" i="7" s="1"/>
  <c r="J128" i="8"/>
  <c r="K101" i="7"/>
  <c r="J101" i="7" s="1"/>
  <c r="J120" i="8"/>
  <c r="K130" i="7"/>
  <c r="J130" i="7" s="1"/>
  <c r="J116" i="8"/>
  <c r="K94" i="7"/>
  <c r="J94" i="7" s="1"/>
  <c r="G114" i="8"/>
  <c r="K76" i="7"/>
  <c r="J76" i="7" s="1"/>
  <c r="G110" i="8"/>
  <c r="K135" i="7"/>
  <c r="J135" i="7" s="1"/>
  <c r="I124" i="8"/>
  <c r="K74" i="7"/>
  <c r="J74" i="7" s="1"/>
  <c r="K83" i="7"/>
  <c r="J83" i="7" s="1"/>
  <c r="G122" i="8"/>
  <c r="K148" i="7"/>
  <c r="J148" i="7" s="1"/>
  <c r="H118" i="8"/>
  <c r="K112" i="7"/>
  <c r="J112" i="7" s="1"/>
  <c r="K72" i="7"/>
  <c r="J72" i="7" s="1"/>
  <c r="K81" i="7"/>
  <c r="J81" i="7" s="1"/>
  <c r="J109" i="8"/>
  <c r="K126" i="7"/>
  <c r="J126" i="7" s="1"/>
  <c r="I120" i="8"/>
  <c r="H120" i="8"/>
  <c r="G129" i="8"/>
  <c r="K110" i="7"/>
  <c r="J110" i="7" s="1"/>
  <c r="G121" i="8"/>
  <c r="K139" i="7"/>
  <c r="J139" i="7" s="1"/>
  <c r="G117" i="8"/>
  <c r="K103" i="7"/>
  <c r="J103" i="7" s="1"/>
  <c r="J111" i="8"/>
  <c r="K144" i="7"/>
  <c r="J144" i="7" s="1"/>
  <c r="I128" i="8"/>
  <c r="I116" i="8"/>
  <c r="H116" i="8"/>
  <c r="H127" i="8"/>
  <c r="K92" i="7"/>
  <c r="J92" i="7" s="1"/>
  <c r="J123" i="8"/>
  <c r="K157" i="7"/>
  <c r="J157" i="7" s="1"/>
  <c r="I119" i="8"/>
  <c r="K121" i="7"/>
  <c r="J121" i="7" s="1"/>
  <c r="H115" i="8"/>
  <c r="K85" i="7"/>
  <c r="J85" i="7" s="1"/>
  <c r="I118" i="8"/>
  <c r="H113" i="8"/>
  <c r="H112" i="8"/>
  <c r="J126" i="8"/>
  <c r="I122" i="8"/>
  <c r="G118" i="8"/>
  <c r="G112" i="8"/>
  <c r="J122" i="8"/>
  <c r="I126" i="8"/>
  <c r="I121" i="8"/>
  <c r="G126" i="8"/>
  <c r="I112" i="8"/>
  <c r="J118" i="8"/>
  <c r="I125" i="8"/>
  <c r="H126" i="8"/>
  <c r="J127" i="8"/>
  <c r="J119" i="8"/>
  <c r="H123" i="8"/>
  <c r="I127" i="8"/>
  <c r="I123" i="8"/>
  <c r="I115" i="8"/>
  <c r="G123" i="8"/>
  <c r="G115" i="8"/>
  <c r="J115" i="8"/>
  <c r="A39" i="7"/>
  <c r="A38" i="7"/>
  <c r="A37" i="7"/>
  <c r="I111" i="8"/>
  <c r="H109" i="8"/>
  <c r="H128" i="8"/>
  <c r="G111" i="8"/>
  <c r="H111" i="8"/>
  <c r="H124" i="8"/>
  <c r="J129" i="8"/>
  <c r="J125" i="8"/>
  <c r="J121" i="8"/>
  <c r="J117" i="8"/>
  <c r="J108" i="8"/>
  <c r="H108" i="8"/>
  <c r="H129" i="8"/>
  <c r="H125" i="8"/>
  <c r="H121" i="8"/>
  <c r="H117" i="8"/>
  <c r="G128" i="8"/>
  <c r="G124" i="8"/>
  <c r="G120" i="8"/>
  <c r="G116" i="8"/>
  <c r="I108" i="8"/>
  <c r="I113" i="8"/>
  <c r="I109" i="8"/>
  <c r="I114" i="8"/>
  <c r="I110" i="8"/>
  <c r="J114" i="8"/>
  <c r="H114" i="8"/>
  <c r="H110" i="8"/>
  <c r="G113" i="8"/>
  <c r="G109" i="8"/>
  <c r="J110" i="8"/>
  <c r="K107" i="8"/>
  <c r="H102" i="8"/>
  <c r="H101" i="8"/>
  <c r="I102" i="8"/>
  <c r="G102" i="8"/>
  <c r="I101" i="8"/>
  <c r="G101" i="8"/>
  <c r="A17" i="7"/>
  <c r="A19" i="7"/>
  <c r="I103" i="8"/>
  <c r="J103" i="8"/>
  <c r="K103" i="8" s="1"/>
  <c r="E92" i="8"/>
  <c r="G92" i="8" s="1"/>
  <c r="E93" i="8"/>
  <c r="E94" i="8"/>
  <c r="E95" i="8"/>
  <c r="E96" i="8"/>
  <c r="E97" i="8"/>
  <c r="E98" i="8"/>
  <c r="E99" i="8"/>
  <c r="E100" i="8"/>
  <c r="F92" i="8"/>
  <c r="F93" i="8"/>
  <c r="F94" i="8"/>
  <c r="F95" i="8"/>
  <c r="F96" i="8"/>
  <c r="F97" i="8"/>
  <c r="F98" i="8"/>
  <c r="F99" i="8"/>
  <c r="F100" i="8"/>
  <c r="R13" i="7"/>
  <c r="AM7" i="4"/>
  <c r="R7" i="4"/>
  <c r="B13" i="7"/>
  <c r="G98" i="8" l="1"/>
  <c r="K58" i="7"/>
  <c r="J58" i="7" s="1"/>
  <c r="G94" i="8"/>
  <c r="K46" i="7"/>
  <c r="J46" i="7" s="1"/>
  <c r="H97" i="8"/>
  <c r="K55" i="7"/>
  <c r="J55" i="7" s="1"/>
  <c r="H93" i="8"/>
  <c r="K43" i="7"/>
  <c r="J43" i="7" s="1"/>
  <c r="G100" i="8"/>
  <c r="K64" i="7"/>
  <c r="J64" i="7" s="1"/>
  <c r="I96" i="8"/>
  <c r="K52" i="7"/>
  <c r="J52" i="7" s="1"/>
  <c r="H99" i="8"/>
  <c r="K61" i="7"/>
  <c r="J61" i="7" s="1"/>
  <c r="H95" i="8"/>
  <c r="K49" i="7"/>
  <c r="J49" i="7" s="1"/>
  <c r="K101" i="8"/>
  <c r="H67" i="7" s="1"/>
  <c r="K119" i="8"/>
  <c r="K120" i="8"/>
  <c r="K123" i="8"/>
  <c r="H82" i="7" s="1"/>
  <c r="K116" i="8"/>
  <c r="K113" i="8"/>
  <c r="K127" i="8"/>
  <c r="K122" i="8"/>
  <c r="H73" i="7" s="1"/>
  <c r="K121" i="8"/>
  <c r="K112" i="8"/>
  <c r="K118" i="8"/>
  <c r="K125" i="8"/>
  <c r="H100" i="7" s="1"/>
  <c r="K126" i="8"/>
  <c r="H109" i="7" s="1"/>
  <c r="K115" i="8"/>
  <c r="K128" i="8"/>
  <c r="K129" i="8"/>
  <c r="H136" i="7" s="1"/>
  <c r="K110" i="8"/>
  <c r="K108" i="8"/>
  <c r="K111" i="8"/>
  <c r="K109" i="8"/>
  <c r="K124" i="8"/>
  <c r="K117" i="8"/>
  <c r="K114" i="8"/>
  <c r="I95" i="8"/>
  <c r="K102" i="8"/>
  <c r="H70" i="7" s="1"/>
  <c r="G99" i="8"/>
  <c r="J95" i="8"/>
  <c r="I98" i="8"/>
  <c r="I94" i="8"/>
  <c r="J96" i="8"/>
  <c r="G96" i="8"/>
  <c r="I99" i="8"/>
  <c r="H100" i="8"/>
  <c r="G95" i="8"/>
  <c r="H96" i="8"/>
  <c r="J100" i="8"/>
  <c r="J92" i="8"/>
  <c r="I97" i="8"/>
  <c r="I93" i="8"/>
  <c r="H92" i="8"/>
  <c r="J97" i="8"/>
  <c r="I100" i="8"/>
  <c r="I92" i="8"/>
  <c r="J99" i="8"/>
  <c r="J93" i="8"/>
  <c r="H98" i="8"/>
  <c r="H94" i="8"/>
  <c r="J98" i="8"/>
  <c r="J94" i="8"/>
  <c r="G97" i="8"/>
  <c r="G93" i="8"/>
  <c r="A13" i="7"/>
  <c r="B15" i="5"/>
  <c r="G15" i="5"/>
  <c r="L15" i="5"/>
  <c r="M15" i="5" s="1"/>
  <c r="B6" i="5"/>
  <c r="B7" i="5"/>
  <c r="B8" i="5"/>
  <c r="B21" i="5"/>
  <c r="B22" i="5"/>
  <c r="B23" i="5"/>
  <c r="B9" i="5"/>
  <c r="B17" i="5"/>
  <c r="B12" i="5"/>
  <c r="B14" i="5"/>
  <c r="B20" i="5"/>
  <c r="B16" i="5"/>
  <c r="B18" i="5"/>
  <c r="B11" i="5"/>
  <c r="B13" i="5"/>
  <c r="B19" i="5"/>
  <c r="Z9" i="4"/>
  <c r="H101" i="7" l="1"/>
  <c r="H127" i="7"/>
  <c r="H92" i="7"/>
  <c r="H118" i="7"/>
  <c r="H121" i="7"/>
  <c r="H91" i="7"/>
  <c r="C41" i="5"/>
  <c r="E41" i="5" s="1"/>
  <c r="C43" i="5"/>
  <c r="E43" i="5" s="1"/>
  <c r="C45" i="5"/>
  <c r="E45" i="5" s="1"/>
  <c r="C47" i="5"/>
  <c r="E47" i="5" s="1"/>
  <c r="C49" i="5"/>
  <c r="E49" i="5" s="1"/>
  <c r="C40" i="5"/>
  <c r="E40" i="5" s="1"/>
  <c r="C42" i="5"/>
  <c r="E42" i="5" s="1"/>
  <c r="C44" i="5"/>
  <c r="E44" i="5" s="1"/>
  <c r="C46" i="5"/>
  <c r="E46" i="5" s="1"/>
  <c r="C48" i="5"/>
  <c r="E48" i="5" s="1"/>
  <c r="H76" i="7"/>
  <c r="H108" i="7"/>
  <c r="Z31" i="9"/>
  <c r="Z35" i="9"/>
  <c r="Z33" i="9"/>
  <c r="Z30" i="9"/>
  <c r="Z28" i="9"/>
  <c r="Z32" i="9"/>
  <c r="Z36" i="9"/>
  <c r="Z29" i="9"/>
  <c r="Z37" i="9"/>
  <c r="Z34" i="9"/>
  <c r="Z27" i="9"/>
  <c r="D31" i="5" s="1"/>
  <c r="H117" i="7"/>
  <c r="H148" i="7"/>
  <c r="H135" i="7"/>
  <c r="H90" i="7"/>
  <c r="H139" i="7"/>
  <c r="H94" i="7"/>
  <c r="H126" i="7"/>
  <c r="H81" i="7"/>
  <c r="H110" i="7"/>
  <c r="H166" i="7"/>
  <c r="H144" i="7"/>
  <c r="H99" i="7"/>
  <c r="H112" i="7"/>
  <c r="H162" i="7"/>
  <c r="H130" i="7"/>
  <c r="H103" i="7"/>
  <c r="H85" i="7"/>
  <c r="H153" i="7"/>
  <c r="H72" i="7"/>
  <c r="H157" i="7"/>
  <c r="A170" i="7"/>
  <c r="A166" i="7"/>
  <c r="A161" i="7"/>
  <c r="A157" i="7"/>
  <c r="A150" i="7"/>
  <c r="A143" i="7"/>
  <c r="A139" i="7"/>
  <c r="A132" i="7"/>
  <c r="A125" i="7"/>
  <c r="A121" i="7"/>
  <c r="A114" i="7"/>
  <c r="A169" i="7"/>
  <c r="A160" i="7"/>
  <c r="A149" i="7"/>
  <c r="A142" i="7"/>
  <c r="A131" i="7"/>
  <c r="A124" i="7"/>
  <c r="A113" i="7"/>
  <c r="A168" i="7"/>
  <c r="A159" i="7"/>
  <c r="A152" i="7"/>
  <c r="A148" i="7"/>
  <c r="A141" i="7"/>
  <c r="A134" i="7"/>
  <c r="A130" i="7"/>
  <c r="A123" i="7"/>
  <c r="A116" i="7"/>
  <c r="A112" i="7"/>
  <c r="A167" i="7"/>
  <c r="A158" i="7"/>
  <c r="A151" i="7"/>
  <c r="A140" i="7"/>
  <c r="A133" i="7"/>
  <c r="A122" i="7"/>
  <c r="A115" i="7"/>
  <c r="A104" i="7"/>
  <c r="A86" i="7"/>
  <c r="A103" i="7"/>
  <c r="A96" i="7"/>
  <c r="A85" i="7"/>
  <c r="A95" i="7"/>
  <c r="A105" i="7"/>
  <c r="A94" i="7"/>
  <c r="A87" i="7"/>
  <c r="H74" i="7"/>
  <c r="H83" i="7"/>
  <c r="A78" i="7"/>
  <c r="A77" i="7"/>
  <c r="A76" i="7"/>
  <c r="K95" i="8"/>
  <c r="H49" i="7" s="1"/>
  <c r="K99" i="8"/>
  <c r="H61" i="7" s="1"/>
  <c r="K96" i="8"/>
  <c r="H52" i="7" s="1"/>
  <c r="K100" i="8"/>
  <c r="H64" i="7" s="1"/>
  <c r="K92" i="8"/>
  <c r="K97" i="8"/>
  <c r="H55" i="7" s="1"/>
  <c r="K98" i="8"/>
  <c r="H58" i="7" s="1"/>
  <c r="K93" i="8"/>
  <c r="H43" i="7" s="1"/>
  <c r="K94" i="8"/>
  <c r="H46" i="7" s="1"/>
  <c r="B49" i="9"/>
  <c r="B48" i="9"/>
  <c r="G6" i="5"/>
  <c r="G7" i="5"/>
  <c r="G8" i="5"/>
  <c r="G21" i="5"/>
  <c r="G22" i="5"/>
  <c r="G23" i="5"/>
  <c r="G9" i="5"/>
  <c r="G17" i="5"/>
  <c r="G12" i="5"/>
  <c r="G14" i="5"/>
  <c r="G20" i="5"/>
  <c r="G16" i="5"/>
  <c r="G18" i="5"/>
  <c r="G11" i="5"/>
  <c r="G13" i="5"/>
  <c r="G19" i="5"/>
  <c r="AV7" i="4"/>
  <c r="AV8" i="4"/>
  <c r="AV9" i="4"/>
  <c r="AV10" i="4"/>
  <c r="AV11" i="4"/>
  <c r="AV12" i="4"/>
  <c r="AV13" i="4"/>
  <c r="AV14" i="4"/>
  <c r="AV15" i="4"/>
  <c r="AV16" i="4"/>
  <c r="E90" i="8"/>
  <c r="H90" i="8" s="1"/>
  <c r="E91" i="8"/>
  <c r="H91" i="8" s="1"/>
  <c r="F90" i="8"/>
  <c r="F91" i="8"/>
  <c r="A41" i="7"/>
  <c r="R41" i="7"/>
  <c r="A71" i="7"/>
  <c r="A68" i="7"/>
  <c r="A65" i="7"/>
  <c r="A62" i="7"/>
  <c r="A59" i="7"/>
  <c r="A56" i="7"/>
  <c r="A53" i="7"/>
  <c r="A50" i="7"/>
  <c r="A47" i="7"/>
  <c r="A44" i="7"/>
  <c r="R59" i="7"/>
  <c r="R62" i="7"/>
  <c r="R65" i="7"/>
  <c r="R68" i="7"/>
  <c r="R71" i="7"/>
  <c r="E81" i="8"/>
  <c r="G81" i="8" s="1"/>
  <c r="E82" i="8"/>
  <c r="H82" i="8" s="1"/>
  <c r="E83" i="8"/>
  <c r="G83" i="8" s="1"/>
  <c r="E84" i="8"/>
  <c r="J84" i="8" s="1"/>
  <c r="E85" i="8"/>
  <c r="J85" i="8" s="1"/>
  <c r="E86" i="8"/>
  <c r="H86" i="8" s="1"/>
  <c r="E87" i="8"/>
  <c r="G87" i="8" s="1"/>
  <c r="E88" i="8"/>
  <c r="J88" i="8" s="1"/>
  <c r="E89" i="8"/>
  <c r="H89" i="8" s="1"/>
  <c r="F81" i="8"/>
  <c r="F82" i="8"/>
  <c r="F83" i="8"/>
  <c r="F84" i="8"/>
  <c r="F85" i="8"/>
  <c r="F86" i="8"/>
  <c r="F87" i="8"/>
  <c r="F88" i="8"/>
  <c r="F89" i="8"/>
  <c r="R56" i="7"/>
  <c r="R53" i="7"/>
  <c r="R50" i="7"/>
  <c r="R47" i="7"/>
  <c r="A69" i="7"/>
  <c r="A66" i="7"/>
  <c r="A63" i="7"/>
  <c r="A60" i="7"/>
  <c r="A57" i="7"/>
  <c r="A54" i="7"/>
  <c r="A51" i="7"/>
  <c r="A48" i="7"/>
  <c r="A45" i="7"/>
  <c r="A42" i="7"/>
  <c r="R51" i="7"/>
  <c r="R54" i="7"/>
  <c r="R57" i="7"/>
  <c r="R60" i="7"/>
  <c r="R63" i="7"/>
  <c r="R66" i="7"/>
  <c r="R69" i="7"/>
  <c r="R48" i="7"/>
  <c r="R45" i="7"/>
  <c r="E80" i="8"/>
  <c r="G80" i="8" s="1"/>
  <c r="F80" i="8"/>
  <c r="E70" i="8"/>
  <c r="H70" i="8" s="1"/>
  <c r="E71" i="8"/>
  <c r="H71" i="8" s="1"/>
  <c r="E72" i="8"/>
  <c r="H72" i="8" s="1"/>
  <c r="E73" i="8"/>
  <c r="I73" i="8" s="1"/>
  <c r="E74" i="8"/>
  <c r="H74" i="8" s="1"/>
  <c r="E75" i="8"/>
  <c r="I75" i="8" s="1"/>
  <c r="E76" i="8"/>
  <c r="H76" i="8" s="1"/>
  <c r="E77" i="8"/>
  <c r="I77" i="8" s="1"/>
  <c r="E78" i="8"/>
  <c r="I78" i="8" s="1"/>
  <c r="E79" i="8"/>
  <c r="I79" i="8" s="1"/>
  <c r="F70" i="8"/>
  <c r="F71" i="8"/>
  <c r="F72" i="8"/>
  <c r="F73" i="8"/>
  <c r="F74" i="8"/>
  <c r="F75" i="8"/>
  <c r="F76" i="8"/>
  <c r="F77" i="8"/>
  <c r="F78" i="8"/>
  <c r="F79" i="8"/>
  <c r="G70" i="8"/>
  <c r="G71" i="8"/>
  <c r="G72" i="8"/>
  <c r="G73" i="8"/>
  <c r="G78" i="8"/>
  <c r="G79" i="8"/>
  <c r="R44" i="7"/>
  <c r="R42" i="7"/>
  <c r="E69" i="8"/>
  <c r="G69" i="8" s="1"/>
  <c r="F69" i="8"/>
  <c r="A40" i="7"/>
  <c r="B57" i="7"/>
  <c r="B65" i="7"/>
  <c r="B48" i="7"/>
  <c r="B68" i="7"/>
  <c r="B53" i="7"/>
  <c r="B51" i="7"/>
  <c r="B50" i="7"/>
  <c r="B54" i="7"/>
  <c r="B59" i="7"/>
  <c r="B69" i="7"/>
  <c r="B45" i="7"/>
  <c r="B66" i="7"/>
  <c r="B42" i="7"/>
  <c r="B47" i="7"/>
  <c r="B71" i="7"/>
  <c r="D38" i="8"/>
  <c r="B44" i="7"/>
  <c r="B60" i="7"/>
  <c r="B56" i="7"/>
  <c r="B62" i="7"/>
  <c r="B63" i="7"/>
  <c r="G77" i="8" l="1"/>
  <c r="G75" i="8"/>
  <c r="G76" i="8"/>
  <c r="G74" i="8"/>
  <c r="I91" i="8"/>
  <c r="G91" i="8"/>
  <c r="J81" i="8"/>
  <c r="G90" i="8"/>
  <c r="I81" i="8"/>
  <c r="I90" i="8"/>
  <c r="G86" i="8"/>
  <c r="H79" i="8"/>
  <c r="J89" i="8"/>
  <c r="I85" i="8"/>
  <c r="G89" i="8"/>
  <c r="J75" i="8"/>
  <c r="I89" i="8"/>
  <c r="G85" i="8"/>
  <c r="I72" i="8"/>
  <c r="I86" i="8"/>
  <c r="H85" i="8"/>
  <c r="K41" i="7"/>
  <c r="J83" i="8"/>
  <c r="J80" i="8"/>
  <c r="J87" i="8"/>
  <c r="K68" i="7"/>
  <c r="J68" i="7" s="1"/>
  <c r="H78" i="8"/>
  <c r="I80" i="8"/>
  <c r="J86" i="8"/>
  <c r="I83" i="8"/>
  <c r="K71" i="7"/>
  <c r="J71" i="7" s="1"/>
  <c r="K50" i="7"/>
  <c r="J50" i="7" s="1"/>
  <c r="J91" i="8"/>
  <c r="I87" i="8"/>
  <c r="I82" i="8"/>
  <c r="H81" i="8"/>
  <c r="G82" i="8"/>
  <c r="J90" i="8"/>
  <c r="K69" i="7"/>
  <c r="J69" i="7" s="1"/>
  <c r="K53" i="7"/>
  <c r="J53" i="7" s="1"/>
  <c r="H77" i="8"/>
  <c r="K65" i="7"/>
  <c r="J65" i="7" s="1"/>
  <c r="K40" i="7"/>
  <c r="J40" i="7" s="1"/>
  <c r="I88" i="8"/>
  <c r="I84" i="8"/>
  <c r="K62" i="7"/>
  <c r="J62" i="7" s="1"/>
  <c r="H73" i="8"/>
  <c r="J82" i="8"/>
  <c r="K59" i="7"/>
  <c r="J59" i="7" s="1"/>
  <c r="K47" i="7"/>
  <c r="J47" i="7" s="1"/>
  <c r="K56" i="7"/>
  <c r="J56" i="7" s="1"/>
  <c r="K44" i="7"/>
  <c r="J44" i="7" s="1"/>
  <c r="K66" i="7"/>
  <c r="J66" i="7" s="1"/>
  <c r="AV4" i="4"/>
  <c r="AW4" i="4" s="1"/>
  <c r="J70" i="8"/>
  <c r="K70" i="8" s="1"/>
  <c r="H80" i="8"/>
  <c r="K80" i="8" s="1"/>
  <c r="H88" i="8"/>
  <c r="H84" i="8"/>
  <c r="H87" i="8"/>
  <c r="H83" i="8"/>
  <c r="G88" i="8"/>
  <c r="G84" i="8"/>
  <c r="K84" i="8" s="1"/>
  <c r="I76" i="8"/>
  <c r="J79" i="8"/>
  <c r="I71" i="8"/>
  <c r="H75" i="8"/>
  <c r="J71" i="8"/>
  <c r="J74" i="8"/>
  <c r="K74" i="8" s="1"/>
  <c r="J69" i="8"/>
  <c r="J78" i="8"/>
  <c r="J73" i="8"/>
  <c r="I74" i="8"/>
  <c r="I70" i="8"/>
  <c r="J77" i="8"/>
  <c r="K71" i="8"/>
  <c r="J76" i="8"/>
  <c r="J72" i="8"/>
  <c r="K72" i="8" s="1"/>
  <c r="I69" i="8"/>
  <c r="H69" i="8"/>
  <c r="E68" i="8"/>
  <c r="K63" i="7" s="1"/>
  <c r="J63" i="7" s="1"/>
  <c r="F68" i="8"/>
  <c r="E67" i="8"/>
  <c r="K60" i="7" s="1"/>
  <c r="J60" i="7" s="1"/>
  <c r="F67" i="8"/>
  <c r="R40" i="7"/>
  <c r="E54" i="8"/>
  <c r="E55" i="8"/>
  <c r="E56" i="8"/>
  <c r="E57" i="8"/>
  <c r="E58" i="8"/>
  <c r="E59" i="8"/>
  <c r="E60" i="8"/>
  <c r="E61" i="8"/>
  <c r="E62" i="8"/>
  <c r="K45" i="7" s="1"/>
  <c r="J45" i="7" s="1"/>
  <c r="E63" i="8"/>
  <c r="E64" i="8"/>
  <c r="E65" i="8"/>
  <c r="K175" i="7" s="1"/>
  <c r="J175" i="7" s="1"/>
  <c r="E66" i="8"/>
  <c r="F54" i="8"/>
  <c r="F55" i="8"/>
  <c r="F56" i="8"/>
  <c r="F57" i="8"/>
  <c r="F58" i="8"/>
  <c r="F59" i="8"/>
  <c r="F60" i="8"/>
  <c r="F61" i="8"/>
  <c r="F62" i="8"/>
  <c r="F63" i="8"/>
  <c r="F64" i="8"/>
  <c r="F65" i="8"/>
  <c r="F66" i="8"/>
  <c r="R36" i="7"/>
  <c r="R35" i="7"/>
  <c r="R34" i="7"/>
  <c r="R33" i="7"/>
  <c r="B40" i="7"/>
  <c r="B35" i="7"/>
  <c r="B33" i="7"/>
  <c r="B34" i="7"/>
  <c r="B36" i="7"/>
  <c r="K76" i="8" l="1"/>
  <c r="K176" i="7"/>
  <c r="J176" i="7" s="1"/>
  <c r="K54" i="7"/>
  <c r="J54" i="7" s="1"/>
  <c r="K174" i="7"/>
  <c r="J174" i="7" s="1"/>
  <c r="K89" i="8"/>
  <c r="K81" i="8"/>
  <c r="K91" i="8"/>
  <c r="K79" i="8"/>
  <c r="K75" i="8"/>
  <c r="K90" i="8"/>
  <c r="K85" i="8"/>
  <c r="K77" i="8"/>
  <c r="K86" i="8"/>
  <c r="K82" i="8"/>
  <c r="K73" i="8"/>
  <c r="K42" i="7"/>
  <c r="J42" i="7" s="1"/>
  <c r="K57" i="7"/>
  <c r="J57" i="7" s="1"/>
  <c r="H68" i="7"/>
  <c r="K83" i="8"/>
  <c r="K78" i="8"/>
  <c r="K87" i="8"/>
  <c r="H53" i="7"/>
  <c r="H41" i="7"/>
  <c r="K51" i="7"/>
  <c r="J51" i="7" s="1"/>
  <c r="K48" i="7"/>
  <c r="J48" i="7" s="1"/>
  <c r="AW12" i="4"/>
  <c r="AY12" i="4" s="1"/>
  <c r="AW11" i="4"/>
  <c r="AY11" i="4" s="1"/>
  <c r="AW15" i="4"/>
  <c r="AY15" i="4" s="1"/>
  <c r="AW9" i="4"/>
  <c r="AY9" i="4" s="1"/>
  <c r="AW14" i="4"/>
  <c r="AY14" i="4" s="1"/>
  <c r="AW8" i="4"/>
  <c r="AY8" i="4" s="1"/>
  <c r="AW10" i="4"/>
  <c r="AY10" i="4" s="1"/>
  <c r="AW7" i="4"/>
  <c r="AY7" i="4" s="1"/>
  <c r="AW13" i="4"/>
  <c r="AY13" i="4" s="1"/>
  <c r="AW16" i="4"/>
  <c r="AY16" i="4" s="1"/>
  <c r="K88" i="8"/>
  <c r="H65" i="7" s="1"/>
  <c r="K69" i="8"/>
  <c r="H63" i="8"/>
  <c r="J63" i="8"/>
  <c r="H59" i="8"/>
  <c r="J59" i="8"/>
  <c r="H55" i="8"/>
  <c r="J55" i="8"/>
  <c r="I66" i="8"/>
  <c r="J66" i="8"/>
  <c r="I62" i="8"/>
  <c r="J62" i="8"/>
  <c r="G58" i="8"/>
  <c r="J58" i="8"/>
  <c r="G54" i="8"/>
  <c r="J54" i="8"/>
  <c r="G68" i="8"/>
  <c r="J68" i="8"/>
  <c r="H65" i="8"/>
  <c r="J65" i="8"/>
  <c r="G61" i="8"/>
  <c r="J61" i="8"/>
  <c r="G57" i="8"/>
  <c r="J57" i="8"/>
  <c r="G64" i="8"/>
  <c r="J64" i="8"/>
  <c r="J60" i="8"/>
  <c r="G56" i="8"/>
  <c r="J56" i="8"/>
  <c r="H67" i="8"/>
  <c r="J67" i="8"/>
  <c r="G60" i="8"/>
  <c r="I68" i="8"/>
  <c r="H68" i="8"/>
  <c r="H66" i="8"/>
  <c r="I65" i="8"/>
  <c r="H62" i="8"/>
  <c r="G66" i="8"/>
  <c r="I58" i="8"/>
  <c r="G67" i="8"/>
  <c r="I61" i="8"/>
  <c r="I67" i="8"/>
  <c r="I57" i="8"/>
  <c r="G62" i="8"/>
  <c r="I54" i="8"/>
  <c r="H54" i="8"/>
  <c r="H58" i="8"/>
  <c r="I64" i="8"/>
  <c r="I63" i="8"/>
  <c r="I59" i="8"/>
  <c r="I55" i="8"/>
  <c r="G59" i="8"/>
  <c r="I60" i="8"/>
  <c r="I56" i="8"/>
  <c r="G63" i="8"/>
  <c r="G55" i="8"/>
  <c r="H61" i="8"/>
  <c r="H57" i="8"/>
  <c r="H64" i="8"/>
  <c r="H60" i="8"/>
  <c r="H56" i="8"/>
  <c r="G65" i="8"/>
  <c r="A36" i="7"/>
  <c r="R8" i="7"/>
  <c r="R9" i="7"/>
  <c r="R10" i="7"/>
  <c r="R11" i="7"/>
  <c r="R12" i="7"/>
  <c r="R14" i="7"/>
  <c r="R16" i="7"/>
  <c r="R21" i="7"/>
  <c r="R20" i="7"/>
  <c r="R23" i="7"/>
  <c r="R24" i="7"/>
  <c r="R25" i="7"/>
  <c r="R26" i="7"/>
  <c r="R27" i="7"/>
  <c r="R28" i="7"/>
  <c r="R29" i="7"/>
  <c r="R32" i="7"/>
  <c r="Y14" i="9"/>
  <c r="Y15" i="9"/>
  <c r="Y16" i="9"/>
  <c r="Y17" i="9"/>
  <c r="Y18" i="9"/>
  <c r="Y19" i="9"/>
  <c r="Y20" i="9"/>
  <c r="Y21" i="9"/>
  <c r="Y22" i="9"/>
  <c r="X14" i="9"/>
  <c r="X15" i="9"/>
  <c r="X16" i="9"/>
  <c r="X17" i="9"/>
  <c r="X18" i="9"/>
  <c r="X19" i="9"/>
  <c r="X20" i="9"/>
  <c r="X21" i="9"/>
  <c r="X22" i="9"/>
  <c r="V14" i="9"/>
  <c r="V15" i="9"/>
  <c r="V16" i="9"/>
  <c r="V17" i="9"/>
  <c r="V18" i="9"/>
  <c r="V19" i="9"/>
  <c r="V20" i="9"/>
  <c r="V21" i="9"/>
  <c r="V22" i="9"/>
  <c r="Y13" i="9"/>
  <c r="X13" i="9"/>
  <c r="L6" i="5"/>
  <c r="M6" i="5" s="1"/>
  <c r="L7" i="5"/>
  <c r="L8" i="5"/>
  <c r="M8" i="5" s="1"/>
  <c r="L21" i="5"/>
  <c r="M21" i="5" s="1"/>
  <c r="L22" i="5"/>
  <c r="M22" i="5" s="1"/>
  <c r="L23" i="5"/>
  <c r="M23" i="5" s="1"/>
  <c r="L9" i="5"/>
  <c r="L17" i="5"/>
  <c r="M17" i="5" s="1"/>
  <c r="L12" i="5"/>
  <c r="M12" i="5" s="1"/>
  <c r="L14" i="5"/>
  <c r="L20" i="5"/>
  <c r="M20" i="5" s="1"/>
  <c r="L16" i="5"/>
  <c r="M16" i="5" s="1"/>
  <c r="L18" i="5"/>
  <c r="M18" i="5" s="1"/>
  <c r="L11" i="5"/>
  <c r="A97" i="7" s="1"/>
  <c r="L13" i="5"/>
  <c r="M13" i="5" s="1"/>
  <c r="L19" i="5"/>
  <c r="Z7" i="4"/>
  <c r="Z8" i="4"/>
  <c r="Z10" i="4"/>
  <c r="Z12" i="4"/>
  <c r="M7" i="5" l="1"/>
  <c r="C39" i="5"/>
  <c r="H69" i="7"/>
  <c r="H44" i="7"/>
  <c r="M9" i="5"/>
  <c r="A106" i="7"/>
  <c r="A88" i="7"/>
  <c r="M14" i="5"/>
  <c r="M19" i="5"/>
  <c r="A79" i="7"/>
  <c r="M11" i="5"/>
  <c r="A98" i="7" s="1"/>
  <c r="H47" i="7"/>
  <c r="H50" i="7"/>
  <c r="H59" i="7"/>
  <c r="K55" i="8"/>
  <c r="H71" i="7"/>
  <c r="H62" i="7"/>
  <c r="H56" i="7"/>
  <c r="K56" i="8"/>
  <c r="AZ12" i="4"/>
  <c r="AZ9" i="4"/>
  <c r="AZ15" i="4"/>
  <c r="AZ16" i="4"/>
  <c r="AZ10" i="4"/>
  <c r="AZ8" i="4"/>
  <c r="AZ11" i="4"/>
  <c r="AZ13" i="4"/>
  <c r="AZ14" i="4"/>
  <c r="AZ7" i="4"/>
  <c r="K65" i="8"/>
  <c r="Z18" i="9"/>
  <c r="Z22" i="9"/>
  <c r="Z19" i="9"/>
  <c r="Z21" i="9"/>
  <c r="Z20" i="9"/>
  <c r="Z14" i="9"/>
  <c r="Z17" i="9"/>
  <c r="Z16" i="9"/>
  <c r="K63" i="8"/>
  <c r="K59" i="8"/>
  <c r="K62" i="8"/>
  <c r="K67" i="8"/>
  <c r="K60" i="8"/>
  <c r="K64" i="8"/>
  <c r="K61" i="8"/>
  <c r="K68" i="8"/>
  <c r="H66" i="7" s="1"/>
  <c r="K58" i="8"/>
  <c r="K66" i="8"/>
  <c r="H176" i="7" s="1"/>
  <c r="K57" i="8"/>
  <c r="K54" i="8"/>
  <c r="H40" i="7"/>
  <c r="Z15" i="9"/>
  <c r="D78" i="4"/>
  <c r="E39" i="5"/>
  <c r="D198" i="8"/>
  <c r="D204" i="8"/>
  <c r="D79" i="4" l="1"/>
  <c r="E52" i="5"/>
  <c r="H174" i="7"/>
  <c r="H175" i="7"/>
  <c r="A107" i="7"/>
  <c r="A89" i="7"/>
  <c r="A80" i="7"/>
  <c r="H45" i="7"/>
  <c r="H48" i="7"/>
  <c r="AY4" i="4"/>
  <c r="H60" i="7"/>
  <c r="H54" i="7"/>
  <c r="H42" i="7"/>
  <c r="H51" i="7"/>
  <c r="H63" i="7"/>
  <c r="H57" i="7"/>
  <c r="D9" i="11"/>
  <c r="F9" i="11" s="1"/>
  <c r="E9" i="11" s="1"/>
  <c r="B9" i="11" s="1"/>
  <c r="F8" i="11"/>
  <c r="E8" i="11" s="1"/>
  <c r="B8" i="11" s="1"/>
  <c r="D103" i="8"/>
  <c r="D98" i="8"/>
  <c r="D203" i="8"/>
  <c r="D75" i="8"/>
  <c r="D76" i="8"/>
  <c r="B41" i="7"/>
  <c r="D197" i="8"/>
  <c r="F7" i="11" l="1"/>
  <c r="E7" i="11" s="1"/>
  <c r="L41" i="7"/>
  <c r="J41" i="7" s="1"/>
  <c r="F49" i="9"/>
  <c r="B32" i="7"/>
  <c r="H7" i="11" l="1"/>
  <c r="I7" i="11" s="1"/>
  <c r="J7" i="11" s="1"/>
  <c r="K7" i="11" s="1"/>
  <c r="L7" i="11" s="1"/>
  <c r="M7" i="11" s="1"/>
  <c r="N7" i="11" s="1"/>
  <c r="O7" i="11" s="1"/>
  <c r="B7" i="11" s="1"/>
  <c r="E4" i="8"/>
  <c r="E5" i="8"/>
  <c r="E6" i="8"/>
  <c r="E7" i="8"/>
  <c r="E8" i="8"/>
  <c r="E9" i="8"/>
  <c r="E10" i="8"/>
  <c r="E11" i="8"/>
  <c r="K181" i="7" s="1"/>
  <c r="J181" i="7" s="1"/>
  <c r="E12" i="8"/>
  <c r="K182" i="7" s="1"/>
  <c r="J182" i="7" s="1"/>
  <c r="E13" i="8"/>
  <c r="K183" i="7" s="1"/>
  <c r="J183" i="7" s="1"/>
  <c r="E14" i="8"/>
  <c r="K177" i="7" s="1"/>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K15" i="7" s="1"/>
  <c r="J15" i="7" s="1"/>
  <c r="E46" i="8"/>
  <c r="E47" i="8"/>
  <c r="K34" i="7" s="1"/>
  <c r="J34" i="7" s="1"/>
  <c r="E48" i="8"/>
  <c r="K35" i="7" s="1"/>
  <c r="J35" i="7" s="1"/>
  <c r="E49" i="8"/>
  <c r="E50" i="8"/>
  <c r="E51" i="8"/>
  <c r="E52" i="8"/>
  <c r="K38" i="7" s="1"/>
  <c r="J38" i="7" s="1"/>
  <c r="E53" i="8"/>
  <c r="K39" i="7" s="1"/>
  <c r="J39" i="7" s="1"/>
  <c r="K171" i="7" l="1"/>
  <c r="J171" i="7" s="1"/>
  <c r="K172" i="7"/>
  <c r="J172" i="7" s="1"/>
  <c r="K37" i="7"/>
  <c r="J37" i="7" s="1"/>
  <c r="K22" i="7"/>
  <c r="J22" i="7" s="1"/>
  <c r="K178" i="7"/>
  <c r="J178" i="7" s="1"/>
  <c r="K179" i="7"/>
  <c r="J179" i="7" s="1"/>
  <c r="K180" i="7"/>
  <c r="J180" i="7" s="1"/>
  <c r="K29" i="7"/>
  <c r="J29" i="7" s="1"/>
  <c r="K19" i="7"/>
  <c r="J19" i="7" s="1"/>
  <c r="K17" i="7"/>
  <c r="J17" i="7" s="1"/>
  <c r="K21" i="7"/>
  <c r="J21" i="7" s="1"/>
  <c r="K25" i="7"/>
  <c r="J25" i="7" s="1"/>
  <c r="K18" i="7"/>
  <c r="J18" i="7" s="1"/>
  <c r="K11" i="7"/>
  <c r="J11" i="7" s="1"/>
  <c r="K36" i="7"/>
  <c r="J36" i="7" s="1"/>
  <c r="K28" i="7"/>
  <c r="J28" i="7" s="1"/>
  <c r="K24" i="7"/>
  <c r="J24" i="7" s="1"/>
  <c r="K16" i="7"/>
  <c r="J16" i="7" s="1"/>
  <c r="K13" i="7"/>
  <c r="J13" i="7" s="1"/>
  <c r="K10" i="7"/>
  <c r="J10" i="7" s="1"/>
  <c r="K33" i="7"/>
  <c r="J33" i="7" s="1"/>
  <c r="K32" i="7"/>
  <c r="J32" i="7" s="1"/>
  <c r="K26" i="7"/>
  <c r="J26" i="7" s="1"/>
  <c r="K20" i="7"/>
  <c r="J20" i="7" s="1"/>
  <c r="K12" i="7"/>
  <c r="J12" i="7" s="1"/>
  <c r="K8" i="7"/>
  <c r="J8" i="7" s="1"/>
  <c r="K27" i="7"/>
  <c r="J27" i="7" s="1"/>
  <c r="K23" i="7"/>
  <c r="J23" i="7" s="1"/>
  <c r="K14" i="7"/>
  <c r="J14" i="7" s="1"/>
  <c r="K9" i="7"/>
  <c r="J9" i="7" s="1"/>
  <c r="G53" i="8"/>
  <c r="J53" i="8"/>
  <c r="G45" i="8"/>
  <c r="J45" i="8"/>
  <c r="J37" i="8"/>
  <c r="J33" i="8"/>
  <c r="J25" i="8"/>
  <c r="G21" i="8"/>
  <c r="J21" i="8"/>
  <c r="G13" i="8"/>
  <c r="J13" i="8"/>
  <c r="G9" i="8"/>
  <c r="J9" i="8"/>
  <c r="G52" i="8"/>
  <c r="J52" i="8"/>
  <c r="G48" i="8"/>
  <c r="J48" i="8"/>
  <c r="G44" i="8"/>
  <c r="J44" i="8"/>
  <c r="J40" i="8"/>
  <c r="J36" i="8"/>
  <c r="J32" i="8"/>
  <c r="J28" i="8"/>
  <c r="J24" i="8"/>
  <c r="G20" i="8"/>
  <c r="J20" i="8"/>
  <c r="G16" i="8"/>
  <c r="J16" i="8"/>
  <c r="G8" i="8"/>
  <c r="J8" i="8"/>
  <c r="G51" i="8"/>
  <c r="J51" i="8"/>
  <c r="G50" i="8"/>
  <c r="J50" i="8"/>
  <c r="G46" i="8"/>
  <c r="J46" i="8"/>
  <c r="G42" i="8"/>
  <c r="J42" i="8"/>
  <c r="J38" i="8"/>
  <c r="J34" i="8"/>
  <c r="J30" i="8"/>
  <c r="J26" i="8"/>
  <c r="J22" i="8"/>
  <c r="G18" i="8"/>
  <c r="K18" i="8" s="1"/>
  <c r="J18" i="8"/>
  <c r="G14" i="8"/>
  <c r="J14" i="8"/>
  <c r="G10" i="8"/>
  <c r="J10" i="8"/>
  <c r="G6" i="8"/>
  <c r="J6" i="8"/>
  <c r="G49" i="8"/>
  <c r="J49" i="8"/>
  <c r="J41" i="8"/>
  <c r="J29" i="8"/>
  <c r="G17" i="8"/>
  <c r="K17" i="8" s="1"/>
  <c r="J17" i="8"/>
  <c r="G5" i="8"/>
  <c r="J5" i="8"/>
  <c r="G12" i="8"/>
  <c r="J12" i="8"/>
  <c r="J4" i="8"/>
  <c r="G47" i="8"/>
  <c r="J47" i="8"/>
  <c r="G43" i="8"/>
  <c r="J43" i="8"/>
  <c r="J39" i="8"/>
  <c r="J35" i="8"/>
  <c r="J31" i="8"/>
  <c r="J27" i="8"/>
  <c r="J23" i="8"/>
  <c r="G19" i="8"/>
  <c r="J19" i="8"/>
  <c r="G15" i="8"/>
  <c r="J15" i="8"/>
  <c r="G11" i="8"/>
  <c r="J11" i="8"/>
  <c r="G7" i="8"/>
  <c r="J7" i="8"/>
  <c r="G34" i="8"/>
  <c r="G30" i="8"/>
  <c r="H26" i="8"/>
  <c r="G22" i="8"/>
  <c r="G41" i="8"/>
  <c r="G33" i="8"/>
  <c r="G29" i="8"/>
  <c r="G25" i="8"/>
  <c r="G40" i="8"/>
  <c r="G36" i="8"/>
  <c r="G32" i="8"/>
  <c r="G28" i="8"/>
  <c r="G24" i="8"/>
  <c r="G35" i="8"/>
  <c r="G31" i="8"/>
  <c r="G27" i="8"/>
  <c r="G23" i="8"/>
  <c r="G4" i="8"/>
  <c r="G38" i="8"/>
  <c r="G39" i="8"/>
  <c r="G37" i="8"/>
  <c r="H33" i="8"/>
  <c r="H53" i="8"/>
  <c r="H37" i="8"/>
  <c r="H21" i="8"/>
  <c r="H5" i="8"/>
  <c r="H45" i="8"/>
  <c r="H29" i="8"/>
  <c r="H13" i="8"/>
  <c r="H49" i="8"/>
  <c r="H17" i="8"/>
  <c r="G26" i="8"/>
  <c r="H41" i="8"/>
  <c r="H25" i="8"/>
  <c r="H9" i="8"/>
  <c r="H52" i="8"/>
  <c r="H48" i="8"/>
  <c r="H40" i="8"/>
  <c r="H32" i="8"/>
  <c r="H28" i="8"/>
  <c r="H20" i="8"/>
  <c r="H16" i="8"/>
  <c r="H8" i="8"/>
  <c r="H4" i="8"/>
  <c r="H51" i="8"/>
  <c r="H47" i="8"/>
  <c r="H43" i="8"/>
  <c r="H39" i="8"/>
  <c r="H35" i="8"/>
  <c r="H31" i="8"/>
  <c r="H27" i="8"/>
  <c r="H23" i="8"/>
  <c r="H19" i="8"/>
  <c r="H15" i="8"/>
  <c r="H11" i="8"/>
  <c r="H7" i="8"/>
  <c r="H44" i="8"/>
  <c r="H36" i="8"/>
  <c r="H24" i="8"/>
  <c r="H12" i="8"/>
  <c r="H50" i="8"/>
  <c r="H46" i="8"/>
  <c r="H42" i="8"/>
  <c r="H38" i="8"/>
  <c r="H34" i="8"/>
  <c r="H30" i="8"/>
  <c r="H22" i="8"/>
  <c r="H18" i="8"/>
  <c r="H14" i="8"/>
  <c r="H10" i="8"/>
  <c r="H6" i="8"/>
  <c r="D37" i="8"/>
  <c r="K16" i="8" l="1"/>
  <c r="K8" i="8"/>
  <c r="K11" i="8"/>
  <c r="H181" i="7" s="1"/>
  <c r="K12" i="8"/>
  <c r="H182" i="7" s="1"/>
  <c r="K10" i="8"/>
  <c r="K7" i="8"/>
  <c r="K15" i="8"/>
  <c r="K6" i="8"/>
  <c r="K14" i="8"/>
  <c r="H177" i="7" s="1"/>
  <c r="K13" i="8"/>
  <c r="H183" i="7" s="1"/>
  <c r="K21" i="8"/>
  <c r="K20" i="8"/>
  <c r="K51" i="8"/>
  <c r="K38" i="8"/>
  <c r="K31" i="8"/>
  <c r="K29" i="8"/>
  <c r="K47" i="8"/>
  <c r="H34" i="7" s="1"/>
  <c r="K46" i="8"/>
  <c r="K37" i="8"/>
  <c r="K23" i="8"/>
  <c r="K40" i="8"/>
  <c r="H36" i="7" s="1"/>
  <c r="K5" i="8"/>
  <c r="K32" i="8"/>
  <c r="K26" i="8"/>
  <c r="K39" i="8"/>
  <c r="K27" i="8"/>
  <c r="K28" i="8"/>
  <c r="K25" i="8"/>
  <c r="K22" i="8"/>
  <c r="K48" i="8"/>
  <c r="H35" i="7" s="1"/>
  <c r="K9" i="8"/>
  <c r="K45" i="8"/>
  <c r="H15" i="7" s="1"/>
  <c r="K4" i="8"/>
  <c r="K35" i="8"/>
  <c r="K36" i="8"/>
  <c r="K33" i="8"/>
  <c r="K30" i="8"/>
  <c r="K24" i="8"/>
  <c r="K41" i="8"/>
  <c r="K34" i="8"/>
  <c r="K19" i="8"/>
  <c r="K43" i="8"/>
  <c r="K49" i="8"/>
  <c r="K42" i="8"/>
  <c r="K50" i="8"/>
  <c r="K44" i="8"/>
  <c r="K52" i="8"/>
  <c r="H38" i="7" s="1"/>
  <c r="K53" i="8"/>
  <c r="H39" i="7" s="1"/>
  <c r="F51" i="8"/>
  <c r="F52" i="8"/>
  <c r="F53" i="8"/>
  <c r="I51" i="8"/>
  <c r="I52" i="8"/>
  <c r="I53" i="8"/>
  <c r="B12" i="7"/>
  <c r="B24" i="7"/>
  <c r="B23" i="7"/>
  <c r="B21" i="7"/>
  <c r="B25" i="7"/>
  <c r="B28" i="7"/>
  <c r="B14" i="7"/>
  <c r="B16" i="7"/>
  <c r="B29" i="7"/>
  <c r="B26" i="7"/>
  <c r="B11" i="7"/>
  <c r="B20" i="7"/>
  <c r="B27" i="7"/>
  <c r="H171" i="7" l="1"/>
  <c r="H172" i="7"/>
  <c r="H37" i="7"/>
  <c r="H22" i="7"/>
  <c r="A14" i="7"/>
  <c r="H178" i="7"/>
  <c r="H179" i="7"/>
  <c r="H180" i="7"/>
  <c r="H19" i="7"/>
  <c r="H18" i="7"/>
  <c r="H17" i="7"/>
  <c r="H10" i="7"/>
  <c r="H20" i="7"/>
  <c r="H8" i="7"/>
  <c r="H13" i="7"/>
  <c r="H33" i="7"/>
  <c r="H9" i="7"/>
  <c r="H29" i="7"/>
  <c r="H12" i="7"/>
  <c r="H27" i="7"/>
  <c r="H11" i="7"/>
  <c r="H23" i="7"/>
  <c r="H16" i="7"/>
  <c r="H21" i="7"/>
  <c r="H14" i="7"/>
  <c r="H32" i="7"/>
  <c r="H24" i="7"/>
  <c r="H26" i="7"/>
  <c r="H25" i="7"/>
  <c r="H28" i="7"/>
  <c r="A28" i="7"/>
  <c r="A26" i="7"/>
  <c r="A16" i="7"/>
  <c r="A25" i="7"/>
  <c r="A27" i="7"/>
  <c r="A21" i="7"/>
  <c r="A24" i="7"/>
  <c r="A12" i="7"/>
  <c r="A11" i="7"/>
  <c r="A29" i="7"/>
  <c r="A20" i="7"/>
  <c r="A23" i="7"/>
  <c r="AJ7" i="4"/>
  <c r="AH7" i="4"/>
  <c r="AE7" i="4"/>
  <c r="AC7" i="4"/>
  <c r="Y7" i="4"/>
  <c r="O7" i="4"/>
  <c r="L7" i="4"/>
  <c r="K7" i="4" s="1"/>
  <c r="I7" i="4"/>
  <c r="G7" i="4"/>
  <c r="I5" i="8"/>
  <c r="I9" i="8"/>
  <c r="I33" i="8"/>
  <c r="I41"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I6" i="8"/>
  <c r="I10" i="8"/>
  <c r="I14" i="8"/>
  <c r="I17" i="8"/>
  <c r="I18" i="8"/>
  <c r="I22" i="8"/>
  <c r="I26" i="8"/>
  <c r="I30" i="8"/>
  <c r="I34" i="8"/>
  <c r="I38" i="8"/>
  <c r="I42" i="8"/>
  <c r="I46" i="8"/>
  <c r="I49" i="8"/>
  <c r="I50" i="8"/>
  <c r="F4" i="8"/>
  <c r="A33" i="7" l="1"/>
  <c r="Y25" i="9"/>
  <c r="A22" i="7"/>
  <c r="A34" i="7"/>
  <c r="A35" i="7"/>
  <c r="A32" i="7"/>
  <c r="F52" i="9"/>
  <c r="I25" i="8"/>
  <c r="I45" i="8"/>
  <c r="I29" i="8"/>
  <c r="I13" i="8"/>
  <c r="I37" i="8"/>
  <c r="I21" i="8"/>
  <c r="I48" i="8"/>
  <c r="I44" i="8"/>
  <c r="I40" i="8"/>
  <c r="I36" i="8"/>
  <c r="I32" i="8"/>
  <c r="I28" i="8"/>
  <c r="I24" i="8"/>
  <c r="I20" i="8"/>
  <c r="I16" i="8"/>
  <c r="I12" i="8"/>
  <c r="I8" i="8"/>
  <c r="I47" i="8"/>
  <c r="I43" i="8"/>
  <c r="I39" i="8"/>
  <c r="I35" i="8"/>
  <c r="I31" i="8"/>
  <c r="I27" i="8"/>
  <c r="I23" i="8"/>
  <c r="I19" i="8"/>
  <c r="I15" i="8"/>
  <c r="I11" i="8"/>
  <c r="I7" i="8"/>
  <c r="B10" i="7"/>
  <c r="B8" i="7"/>
  <c r="B9" i="7"/>
  <c r="A9" i="7" l="1"/>
  <c r="A10" i="7"/>
  <c r="I4" i="8"/>
  <c r="V13" i="9" l="1"/>
  <c r="Z13" i="9" s="1"/>
  <c r="Z23" i="9" s="1"/>
  <c r="P184" i="7" s="1"/>
  <c r="D7" i="4"/>
  <c r="E7" i="4" s="1"/>
  <c r="D8" i="4"/>
  <c r="E8" i="4" s="1"/>
  <c r="D9" i="4"/>
  <c r="E9" i="4" s="1"/>
  <c r="D10" i="4"/>
  <c r="E10" i="4" s="1"/>
  <c r="D11" i="4"/>
  <c r="E11" i="4" s="1"/>
  <c r="D12" i="4"/>
  <c r="E12" i="4" s="1"/>
  <c r="D13" i="4"/>
  <c r="E13" i="4" s="1"/>
  <c r="D14" i="4"/>
  <c r="E14" i="4" s="1"/>
  <c r="D15" i="4"/>
  <c r="E15" i="4" s="1"/>
  <c r="D16" i="4"/>
  <c r="E16" i="4" s="1"/>
  <c r="D17" i="4"/>
  <c r="E17" i="4" s="1"/>
  <c r="D18" i="4"/>
  <c r="E18" i="4" s="1"/>
  <c r="D19" i="4"/>
  <c r="E19" i="4" s="1"/>
  <c r="D20" i="4"/>
  <c r="E20" i="4" s="1"/>
  <c r="D21" i="4"/>
  <c r="E21" i="4" s="1"/>
  <c r="D22" i="4"/>
  <c r="E22" i="4" s="1"/>
  <c r="D23" i="4"/>
  <c r="E23" i="4" s="1"/>
  <c r="D24" i="4"/>
  <c r="E24" i="4" s="1"/>
  <c r="D25" i="4"/>
  <c r="E25" i="4" s="1"/>
  <c r="D26" i="4"/>
  <c r="E26" i="4" s="1"/>
  <c r="D27" i="4"/>
  <c r="E27" i="4" s="1"/>
  <c r="D28" i="4"/>
  <c r="E28" i="4" s="1"/>
  <c r="D29" i="4"/>
  <c r="E29" i="4" s="1"/>
  <c r="D30" i="4"/>
  <c r="E30" i="4" s="1"/>
  <c r="D31" i="4"/>
  <c r="E31" i="4" s="1"/>
  <c r="D32" i="4"/>
  <c r="E32" i="4" s="1"/>
  <c r="D33" i="4"/>
  <c r="E33" i="4" s="1"/>
  <c r="D34" i="4"/>
  <c r="E34" i="4" s="1"/>
  <c r="D35" i="4"/>
  <c r="E35" i="4" s="1"/>
  <c r="D36" i="4"/>
  <c r="E36" i="4" s="1"/>
  <c r="D37" i="4"/>
  <c r="E37" i="4" s="1"/>
  <c r="D38" i="4"/>
  <c r="E38" i="4" s="1"/>
  <c r="D39" i="4"/>
  <c r="E39" i="4" s="1"/>
  <c r="D40" i="4"/>
  <c r="E40" i="4" s="1"/>
  <c r="D41" i="4"/>
  <c r="E41" i="4" s="1"/>
  <c r="D42" i="4"/>
  <c r="E42" i="4" s="1"/>
  <c r="D43" i="4"/>
  <c r="E43" i="4" s="1"/>
  <c r="D44" i="4"/>
  <c r="E44" i="4" s="1"/>
  <c r="D45" i="4"/>
  <c r="E45" i="4" s="1"/>
  <c r="D46" i="4"/>
  <c r="E46" i="4" s="1"/>
  <c r="D47" i="4"/>
  <c r="E47" i="4" s="1"/>
  <c r="D48" i="4"/>
  <c r="E48" i="4" s="1"/>
  <c r="D49" i="4"/>
  <c r="E49" i="4" s="1"/>
  <c r="D50" i="4"/>
  <c r="E50" i="4" s="1"/>
  <c r="D51" i="4"/>
  <c r="E51" i="4" s="1"/>
  <c r="D52" i="4"/>
  <c r="E52" i="4" s="1"/>
  <c r="D53" i="4"/>
  <c r="E53" i="4" s="1"/>
  <c r="D54" i="4"/>
  <c r="E54" i="4" s="1"/>
  <c r="D55" i="4"/>
  <c r="E55" i="4" s="1"/>
  <c r="D56" i="4"/>
  <c r="E56" i="4" s="1"/>
  <c r="D57" i="4"/>
  <c r="E57" i="4" s="1"/>
  <c r="D58" i="4"/>
  <c r="E58" i="4" s="1"/>
  <c r="D59" i="4"/>
  <c r="E59" i="4" s="1"/>
  <c r="D60" i="4"/>
  <c r="E60" i="4" s="1"/>
  <c r="D61" i="4"/>
  <c r="E61" i="4" s="1"/>
  <c r="D62" i="4"/>
  <c r="E62" i="4" s="1"/>
  <c r="D63" i="4"/>
  <c r="E63" i="4" s="1"/>
  <c r="D64" i="4"/>
  <c r="E64" i="4" s="1"/>
  <c r="D65" i="4"/>
  <c r="E65" i="4" s="1"/>
  <c r="D66" i="4"/>
  <c r="E66" i="4" s="1"/>
  <c r="D3" i="3"/>
  <c r="Q179" i="7" l="1"/>
  <c r="N173" i="7"/>
  <c r="F47" i="9"/>
  <c r="D29" i="5"/>
  <c r="U184" i="7" l="1"/>
  <c r="R184" i="7"/>
  <c r="D30" i="5"/>
  <c r="D33" i="5" s="1"/>
  <c r="F48" i="9"/>
  <c r="Z38" i="9"/>
  <c r="D212" i="8"/>
  <c r="D206" i="8"/>
  <c r="Q178" i="7" l="1"/>
  <c r="V178" i="7" s="1"/>
  <c r="V179" i="7"/>
  <c r="A175" i="7"/>
  <c r="A179" i="7"/>
  <c r="A178" i="7"/>
  <c r="T173" i="7"/>
  <c r="Z51" i="9"/>
  <c r="Y51" i="9"/>
  <c r="Y53" i="9"/>
  <c r="Y52" i="9"/>
  <c r="M47" i="9"/>
  <c r="M48" i="9"/>
  <c r="M46" i="9"/>
  <c r="D34" i="5"/>
  <c r="F50" i="9"/>
  <c r="F51" i="9"/>
  <c r="F53" i="9"/>
  <c r="U4" i="7" l="1"/>
  <c r="R178" i="7"/>
  <c r="R179" i="7"/>
  <c r="D36" i="8"/>
  <c r="A173" i="7" l="1"/>
  <c r="A184" i="7" s="1"/>
  <c r="C1" i="9" s="1"/>
  <c r="D72" i="8"/>
  <c r="C3" i="9" l="1"/>
  <c r="B43" i="15"/>
  <c r="B37" i="15"/>
  <c r="B29" i="15"/>
  <c r="B41" i="15"/>
  <c r="B40" i="15"/>
  <c r="B39" i="15"/>
  <c r="B30" i="15"/>
  <c r="B2" i="11"/>
  <c r="R43" i="9"/>
  <c r="B42" i="15"/>
  <c r="B32" i="15"/>
  <c r="B36" i="15"/>
  <c r="B35" i="15"/>
  <c r="B38" i="15"/>
  <c r="B34" i="15"/>
  <c r="B31" i="15"/>
  <c r="B33" i="15"/>
  <c r="D71" i="8"/>
  <c r="D217" i="8"/>
  <c r="D211" i="8"/>
  <c r="D70" i="8"/>
  <c r="K50" i="9" l="1"/>
  <c r="B3" i="11"/>
  <c r="D210" i="8"/>
  <c r="D216" i="8"/>
  <c r="D8" i="9" l="1"/>
</calcChain>
</file>

<file path=xl/sharedStrings.xml><?xml version="1.0" encoding="utf-8"?>
<sst xmlns="http://schemas.openxmlformats.org/spreadsheetml/2006/main" count="1943" uniqueCount="1280">
  <si>
    <t>Last Name</t>
  </si>
  <si>
    <t>First Name</t>
  </si>
  <si>
    <t>Leaving From</t>
  </si>
  <si>
    <t>Round-trip</t>
  </si>
  <si>
    <t>One-way</t>
  </si>
  <si>
    <t>B</t>
  </si>
  <si>
    <t>L</t>
  </si>
  <si>
    <t>D</t>
  </si>
  <si>
    <t>Total</t>
  </si>
  <si>
    <t>Breakfast</t>
  </si>
  <si>
    <t>Lunch</t>
  </si>
  <si>
    <t>Dinner</t>
  </si>
  <si>
    <t>Meal Name</t>
  </si>
  <si>
    <t>Meal Initial</t>
  </si>
  <si>
    <t>Meal Maximum</t>
  </si>
  <si>
    <t>Daily Limit</t>
  </si>
  <si>
    <t>Table_MealMax</t>
  </si>
  <si>
    <t>Day #</t>
  </si>
  <si>
    <t>Travel Start Date</t>
  </si>
  <si>
    <t>Table_Dates</t>
  </si>
  <si>
    <t>Travel End Date</t>
  </si>
  <si>
    <t>Travel End Date Available</t>
  </si>
  <si>
    <t>Receipt Date Available</t>
  </si>
  <si>
    <t>For Travel End Date Drop-down</t>
  </si>
  <si>
    <t>For Receipt Date Drop-down</t>
  </si>
  <si>
    <t>Dropdown_Receipt Dates</t>
  </si>
  <si>
    <t>Dropdown_ReceiptDates</t>
  </si>
  <si>
    <t>Dropdown_TravelEndDates</t>
  </si>
  <si>
    <t>=OFFSET(INDEX(Table_Dates[Receipt Date Available],1,1),0,0,COUNTA(Table_Dates[Receipt Date Available])-COUNTIF(Table_Dates[Receipt Date Available],"XXXX"),1)</t>
  </si>
  <si>
    <t>Airfare</t>
  </si>
  <si>
    <t>Rental Vehicle</t>
  </si>
  <si>
    <t>Fuel</t>
  </si>
  <si>
    <t>Mileage</t>
  </si>
  <si>
    <t>Taxi</t>
  </si>
  <si>
    <t>Bus</t>
  </si>
  <si>
    <t>Train</t>
  </si>
  <si>
    <t>Parking</t>
  </si>
  <si>
    <t>Registration</t>
  </si>
  <si>
    <t>Other</t>
  </si>
  <si>
    <t>Claim Type</t>
  </si>
  <si>
    <t>Value</t>
  </si>
  <si>
    <t>Table_Expenses</t>
  </si>
  <si>
    <t>Class</t>
  </si>
  <si>
    <t>Expenses</t>
  </si>
  <si>
    <t>Conference</t>
  </si>
  <si>
    <t>Course</t>
  </si>
  <si>
    <t>Dropdown_Expenses</t>
  </si>
  <si>
    <t>Going To</t>
  </si>
  <si>
    <t>Trip Type</t>
  </si>
  <si>
    <t>Select</t>
  </si>
  <si>
    <t>Table_TripType</t>
  </si>
  <si>
    <t>Table_Prefix</t>
  </si>
  <si>
    <t>Prefix</t>
  </si>
  <si>
    <t>Table_PaymentOption</t>
  </si>
  <si>
    <t>Banking Options</t>
  </si>
  <si>
    <t>Dropdown_BankingOptions</t>
  </si>
  <si>
    <t>Address</t>
  </si>
  <si>
    <t>Address Type</t>
  </si>
  <si>
    <t>Table_AddressType</t>
  </si>
  <si>
    <t>Home</t>
  </si>
  <si>
    <t>Business</t>
  </si>
  <si>
    <t>Top</t>
  </si>
  <si>
    <t>Bottom</t>
  </si>
  <si>
    <t>(previously submitted)</t>
  </si>
  <si>
    <t>Date Stamp</t>
  </si>
  <si>
    <t>(address specified)</t>
  </si>
  <si>
    <t xml:space="preserve">Direct Deposit </t>
  </si>
  <si>
    <t xml:space="preserve">Mail Cheque </t>
  </si>
  <si>
    <t>Expense Type</t>
  </si>
  <si>
    <t>Total Payable</t>
  </si>
  <si>
    <t>Meals</t>
  </si>
  <si>
    <t>Table_YesNo</t>
  </si>
  <si>
    <t>Dropdown_YesNo</t>
  </si>
  <si>
    <t>YesNo</t>
  </si>
  <si>
    <t>Yes</t>
  </si>
  <si>
    <t>No</t>
  </si>
  <si>
    <t>Eligible Amount ($CAD)</t>
  </si>
  <si>
    <t>Total Travel Eligible</t>
  </si>
  <si>
    <t>Table_ClaimType</t>
  </si>
  <si>
    <t>Dropdown_ClaimType</t>
  </si>
  <si>
    <t>Authorization</t>
  </si>
  <si>
    <t>Message</t>
  </si>
  <si>
    <t>Error Hierarchy</t>
  </si>
  <si>
    <t>Status</t>
  </si>
  <si>
    <t>Area</t>
  </si>
  <si>
    <t>Error Name</t>
  </si>
  <si>
    <t>Description of Error</t>
  </si>
  <si>
    <t>FieldName</t>
  </si>
  <si>
    <t>Error Evaluation</t>
  </si>
  <si>
    <t>Message Bar Display</t>
  </si>
  <si>
    <t>Field Bar Display</t>
  </si>
  <si>
    <t>Message Bar Colour</t>
  </si>
  <si>
    <t>Field Details Colour</t>
  </si>
  <si>
    <t>Dropdown_AddressType</t>
  </si>
  <si>
    <t>=Table_AddressType[Address Type]</t>
  </si>
  <si>
    <t>=Table_ClaimType[Claim Type]</t>
  </si>
  <si>
    <t>Dropdown_PaymentOptions</t>
  </si>
  <si>
    <t>=Table_PaymentOption[Banking Options]</t>
  </si>
  <si>
    <t>Dropdown_Prefix</t>
  </si>
  <si>
    <t>=Table_Prefix[Prefix]</t>
  </si>
  <si>
    <t>Dropdown_TripType</t>
  </si>
  <si>
    <t>=Table_TripType[Trip Type]</t>
  </si>
  <si>
    <t>=Table_YesNo[YesNo]</t>
  </si>
  <si>
    <t>Reference Paste</t>
  </si>
  <si>
    <t>Reference Text</t>
  </si>
  <si>
    <t>Order List Here</t>
  </si>
  <si>
    <t>Prefix is blank</t>
  </si>
  <si>
    <t>Ensure named ranges refer to only the left most cell of a merged area.</t>
  </si>
  <si>
    <t>FirstName is blank</t>
  </si>
  <si>
    <t>Last name is blank</t>
  </si>
  <si>
    <t>Lookup_Error</t>
  </si>
  <si>
    <t>=Table_ErrorList</t>
  </si>
  <si>
    <t>Lookup_ErrorHeaders</t>
  </si>
  <si>
    <t>=Table_ErrorList[#Headers]</t>
  </si>
  <si>
    <t>Square Bracket?</t>
  </si>
  <si>
    <t>Starts with '</t>
  </si>
  <si>
    <t>TRUE=RED
FALSE=GREEN</t>
  </si>
  <si>
    <t>TRUE=FAINT YELLOW
FALSE=FAINT GREEN</t>
  </si>
  <si>
    <t>Payee Type</t>
  </si>
  <si>
    <t>Table_PayeeType</t>
  </si>
  <si>
    <t>Dropdown_PayeeType</t>
  </si>
  <si>
    <t>Domestic (Ontario only)</t>
  </si>
  <si>
    <t>International</t>
  </si>
  <si>
    <t xml:space="preserve">This is a free text field with a 40 character limit. </t>
  </si>
  <si>
    <t>Reference Type</t>
  </si>
  <si>
    <t>=Table_PayeeType[Payee Type]</t>
  </si>
  <si>
    <t>Field01_Prefix</t>
  </si>
  <si>
    <t>Field02_FirstName</t>
  </si>
  <si>
    <t>Field03_LastName</t>
  </si>
  <si>
    <t>='Travel Expense Summary'!$E$17</t>
  </si>
  <si>
    <t>Field10_PaymentOption</t>
  </si>
  <si>
    <t>HelpDialogue_FieldEntry</t>
  </si>
  <si>
    <t>HelpDialogue_Message</t>
  </si>
  <si>
    <t>Table_MealClaims</t>
  </si>
  <si>
    <t>Table_OtherExps</t>
  </si>
  <si>
    <t>Used in Error List</t>
  </si>
  <si>
    <t>Use named range and copy into error list…</t>
  </si>
  <si>
    <t>Dropdown_SubmittingUnit</t>
  </si>
  <si>
    <t>UME</t>
  </si>
  <si>
    <t>=IF(Field15_TravelStartDate&lt;&gt;"",Table_Dates[Travel End Date Available],Field15_TravelStartDate)</t>
  </si>
  <si>
    <t>Field11_DepartureCity</t>
  </si>
  <si>
    <t>Field12_DestinationCity</t>
  </si>
  <si>
    <t>Field14_TripType</t>
  </si>
  <si>
    <t>Field15_TravelStartDate</t>
  </si>
  <si>
    <t>Field16_TravelEndDate</t>
  </si>
  <si>
    <t>Dropdown_NotSelectedValue</t>
  </si>
  <si>
    <t>='Particulars Validation'!$A$4</t>
  </si>
  <si>
    <t>Field17_ClaimType</t>
  </si>
  <si>
    <t>Field18_TravelAdvanceAmount</t>
  </si>
  <si>
    <t>Hierarchy</t>
  </si>
  <si>
    <t>Description</t>
  </si>
  <si>
    <t>Relevant Cell Value</t>
  </si>
  <si>
    <t>Single Cell, Single Range, Multiple Cells/Range, Other</t>
  </si>
  <si>
    <t>Count of Colon ":"</t>
  </si>
  <si>
    <t>Payee Type is blank</t>
  </si>
  <si>
    <t>Select a 'Payee Type' from the in-cell dropdown list.</t>
  </si>
  <si>
    <t>Address is blank</t>
  </si>
  <si>
    <t>Postal Code is blank</t>
  </si>
  <si>
    <t>Select an 'Address Type' from the in-cell dropdown list.</t>
  </si>
  <si>
    <t>Payment Option is blank</t>
  </si>
  <si>
    <t>Select a 'Payment Option' from the in-cell dropdown list.</t>
  </si>
  <si>
    <t>Destination is blank</t>
  </si>
  <si>
    <t>Departure location is blank</t>
  </si>
  <si>
    <t>Field13_TravelScope</t>
  </si>
  <si>
    <t>Trip Type is blank</t>
  </si>
  <si>
    <t>Select 'Trip Type' from the in-cell dropdown list.</t>
  </si>
  <si>
    <t>Start Date is blank</t>
  </si>
  <si>
    <t>End Date is blank</t>
  </si>
  <si>
    <t>Claim Type is blank</t>
  </si>
  <si>
    <t>Select a 'Claim Type' from the in-cell dropdown list.</t>
  </si>
  <si>
    <t>Name</t>
  </si>
  <si>
    <t>Date</t>
  </si>
  <si>
    <t>Signature</t>
  </si>
  <si>
    <t>Claim Status</t>
  </si>
  <si>
    <t>Receipt Amount</t>
  </si>
  <si>
    <t>Meals Total</t>
  </si>
  <si>
    <t>$CAD or $CAD Equivalent</t>
  </si>
  <si>
    <t>Claim Allocation</t>
  </si>
  <si>
    <t>Reason</t>
  </si>
  <si>
    <t>Advance Amount</t>
  </si>
  <si>
    <t>Details</t>
  </si>
  <si>
    <t>Payment Options</t>
  </si>
  <si>
    <t>Fed</t>
  </si>
  <si>
    <t>Prov</t>
  </si>
  <si>
    <t>Rebate</t>
  </si>
  <si>
    <t>Incurred</t>
  </si>
  <si>
    <t>HST</t>
  </si>
  <si>
    <t>Submission</t>
  </si>
  <si>
    <t>Approval</t>
  </si>
  <si>
    <t>Line 1</t>
  </si>
  <si>
    <t>Line 2</t>
  </si>
  <si>
    <t>Line 3</t>
  </si>
  <si>
    <t>CALC</t>
  </si>
  <si>
    <t>Field04_Address</t>
  </si>
  <si>
    <t>Things that could be added:</t>
  </si>
  <si>
    <t>Display Summary</t>
  </si>
  <si>
    <t>Travel Summary Description</t>
  </si>
  <si>
    <t>GL #1</t>
  </si>
  <si>
    <t>HST Calculation</t>
  </si>
  <si>
    <t>Domestic (All in Canada)</t>
  </si>
  <si>
    <t>HSTFedRebate</t>
  </si>
  <si>
    <t>HSTProvRebate</t>
  </si>
  <si>
    <t>HSTTotal</t>
  </si>
  <si>
    <t>SubmissionDate_Validation</t>
  </si>
  <si>
    <t>Have a warning at input if the 'submission' date is greater than 3 months after the travel end date</t>
  </si>
  <si>
    <t>Beginning of 3 months</t>
  </si>
  <si>
    <t>End of 3 months</t>
  </si>
  <si>
    <t>Submission Date Range</t>
  </si>
  <si>
    <t>Advance Amount Available</t>
  </si>
  <si>
    <t>Mileage Reimbursement Rate</t>
  </si>
  <si>
    <t>Receipt or Mileage</t>
  </si>
  <si>
    <t>Receipt</t>
  </si>
  <si>
    <t>DefaultMileageRate</t>
  </si>
  <si>
    <t>Expense</t>
  </si>
  <si>
    <t>Summary Pots</t>
  </si>
  <si>
    <t>Pot #</t>
  </si>
  <si>
    <t>Summary Pot</t>
  </si>
  <si>
    <t>Calc</t>
  </si>
  <si>
    <t>Manual</t>
  </si>
  <si>
    <t>MealMax_Breakfast</t>
  </si>
  <si>
    <t>MealMax_Lunch</t>
  </si>
  <si>
    <t>MealMax_Dinner</t>
  </si>
  <si>
    <t>Details Explanation (Line #1)</t>
  </si>
  <si>
    <t>Details Combined</t>
  </si>
  <si>
    <t>Purpose/Reason for Travel is blank</t>
  </si>
  <si>
    <t>ClaimStatus</t>
  </si>
  <si>
    <t>=Table_Expenses[Expense]</t>
  </si>
  <si>
    <t>Error_OffsetRef</t>
  </si>
  <si>
    <t>Field22_AddDetails</t>
  </si>
  <si>
    <t>='Meal Validation'!$D$10</t>
  </si>
  <si>
    <t>='Meal Validation'!$D$12</t>
  </si>
  <si>
    <t>='Meal Validation'!$D$11</t>
  </si>
  <si>
    <t>SubmissionDateVal_End</t>
  </si>
  <si>
    <t>='Particulars Validation'!$D$79</t>
  </si>
  <si>
    <t>SubmissionDateVal_Start</t>
  </si>
  <si>
    <t>='Particulars Validation'!$D$78</t>
  </si>
  <si>
    <t>TravelTextDescription</t>
  </si>
  <si>
    <t>TravelTextDescription_Display</t>
  </si>
  <si>
    <t>Named Range Paste</t>
  </si>
  <si>
    <t>Role</t>
  </si>
  <si>
    <t>Travel Advance</t>
  </si>
  <si>
    <t>Final - No Advance Received</t>
  </si>
  <si>
    <t>Final - Advance Received</t>
  </si>
  <si>
    <t>Travel Advance is blank</t>
  </si>
  <si>
    <t>No receipt information entered</t>
  </si>
  <si>
    <t>Begin filling out either the '5. Meals' table or the '6. Other Expenses' table.</t>
  </si>
  <si>
    <t>HideAdvanceAmount</t>
  </si>
  <si>
    <t>=IFERROR(NOT(VLOOKUP(Field17_ClaimType,Table_ClaimType,MATCH(Table_ClaimType[[#Headers],[Advance Amount Available]],Table_ClaimType[#Headers],0),FALSE)),FALSE)</t>
  </si>
  <si>
    <t>ReceiptEntryArea</t>
  </si>
  <si>
    <t>Attention To Named Range</t>
  </si>
  <si>
    <t>Attention To Reference Type (Formula)</t>
  </si>
  <si>
    <t>ErrorHighlighter_ReferenceArray</t>
  </si>
  <si>
    <t>ErrorHighlighter_TrueArray</t>
  </si>
  <si>
    <t>ReceiptHeaders</t>
  </si>
  <si>
    <t>Entry</t>
  </si>
  <si>
    <t>EntryFormula</t>
  </si>
  <si>
    <t>ConstantFormula</t>
  </si>
  <si>
    <t>Count of ","</t>
  </si>
  <si>
    <t>Meal 1 Receipt Error</t>
  </si>
  <si>
    <t>Select 'Meal Date' to match entered amount.</t>
  </si>
  <si>
    <t>Select date from in-cell dropdown list.</t>
  </si>
  <si>
    <t>Date must be between 'Travel Start Date' and 'Travel End Date'</t>
  </si>
  <si>
    <t>Meals_Date01</t>
  </si>
  <si>
    <t>Meals_Date02</t>
  </si>
  <si>
    <t>Meals_Date03</t>
  </si>
  <si>
    <t>Meals_Date04</t>
  </si>
  <si>
    <t>Meals_Date05</t>
  </si>
  <si>
    <t>Meals_Date06</t>
  </si>
  <si>
    <t>Meals_Date07</t>
  </si>
  <si>
    <t>Meals_Date08</t>
  </si>
  <si>
    <t>Meals_Date09</t>
  </si>
  <si>
    <t>Meals_Date10</t>
  </si>
  <si>
    <t>Meals_Receipts01</t>
  </si>
  <si>
    <t>Meal 2 Date Error</t>
  </si>
  <si>
    <t>Meal 3 Date Error</t>
  </si>
  <si>
    <t>Meal 4 Date Error</t>
  </si>
  <si>
    <t>Meal 5 Date Error</t>
  </si>
  <si>
    <t>Meal 6 Date Error</t>
  </si>
  <si>
    <t>Meal 7 Date Error</t>
  </si>
  <si>
    <t>Meal 8 Date Error</t>
  </si>
  <si>
    <t>Meal 9 Date Error</t>
  </si>
  <si>
    <t>Meal 10 Date Error</t>
  </si>
  <si>
    <t>Meals_Receipts02</t>
  </si>
  <si>
    <t>Meals_Receipts03</t>
  </si>
  <si>
    <t>Meals_Receipts04</t>
  </si>
  <si>
    <t>Meals_Receipts05</t>
  </si>
  <si>
    <t>Meals_Receipts06</t>
  </si>
  <si>
    <t>Meals_Receipts07</t>
  </si>
  <si>
    <t>Meals_Receipts08</t>
  </si>
  <si>
    <t>Meals_Receipts09</t>
  </si>
  <si>
    <t>Meals_Receipts10</t>
  </si>
  <si>
    <t>Meal 2 Receipt Error</t>
  </si>
  <si>
    <t>Meal 4 Receipt Error</t>
  </si>
  <si>
    <t>Meal 6 Receipt Error</t>
  </si>
  <si>
    <t>Meal 7 Receipt Error</t>
  </si>
  <si>
    <t>Meal 8 Receipt Error</t>
  </si>
  <si>
    <t>Meal 9 Receipt Error</t>
  </si>
  <si>
    <t>Meal 3 Receipt Error</t>
  </si>
  <si>
    <t>Meal 5 Receipts Error</t>
  </si>
  <si>
    <t>Meal 10 Receipt Error</t>
  </si>
  <si>
    <t>Enter 'Meal Amounts' to match entered date.</t>
  </si>
  <si>
    <t>Manual Reference</t>
  </si>
  <si>
    <t>Used Reference</t>
  </si>
  <si>
    <t>'Attention To' Refence</t>
  </si>
  <si>
    <t>MealDates</t>
  </si>
  <si>
    <t>Mode</t>
  </si>
  <si>
    <t>Count</t>
  </si>
  <si>
    <t>INDEX</t>
  </si>
  <si>
    <t>Line</t>
  </si>
  <si>
    <t>=OFFSET(INDEX(Table_Dates[Receipt Date Available],1,1),0,0,LEN(Table_Dates[Receipt Date Available])-COUNTIF(Table_Dates[Receipt Date Available],"XXXX"),1)</t>
  </si>
  <si>
    <t>REF ONLY</t>
  </si>
  <si>
    <t>Meal Date Duplicate Reference</t>
  </si>
  <si>
    <t>=Table_ErrorList[Used Reference]</t>
  </si>
  <si>
    <t>Meal_DatesArray</t>
  </si>
  <si>
    <t>Meals_DuplicateDates</t>
  </si>
  <si>
    <t>Meal Duplicate Values</t>
  </si>
  <si>
    <t>The travel date for meals dates has been used more than once.</t>
  </si>
  <si>
    <t>Adjust the 'Meal Dates' so that each meal date is unique.</t>
  </si>
  <si>
    <t>EQUALS MODE</t>
  </si>
  <si>
    <t>Table_MealDateDuplicates</t>
  </si>
  <si>
    <t>From</t>
  </si>
  <si>
    <t>To</t>
  </si>
  <si>
    <t>Summary Pot #</t>
  </si>
  <si>
    <t>A</t>
  </si>
  <si>
    <t>C</t>
  </si>
  <si>
    <t>GL #2</t>
  </si>
  <si>
    <t>GL #3</t>
  </si>
  <si>
    <t>GL #4</t>
  </si>
  <si>
    <t>Administration</t>
  </si>
  <si>
    <t>City</t>
  </si>
  <si>
    <t>Province | Postal</t>
  </si>
  <si>
    <t>Temporary/Local</t>
  </si>
  <si>
    <t>Change to 'Submitting Portfolio'</t>
  </si>
  <si>
    <t>Submitting Portfolio</t>
  </si>
  <si>
    <t>Community Engagement</t>
  </si>
  <si>
    <t>Dean's Office</t>
  </si>
  <si>
    <t>Research</t>
  </si>
  <si>
    <t>Guest/Other</t>
  </si>
  <si>
    <t>PGE</t>
  </si>
  <si>
    <t>Staff &amp; Non-learner</t>
  </si>
  <si>
    <t>UME Learner</t>
  </si>
  <si>
    <t>Portfolio</t>
  </si>
  <si>
    <t>Range</t>
  </si>
  <si>
    <t>Hotel/Motel</t>
  </si>
  <si>
    <t>Public</t>
  </si>
  <si>
    <t>Accomm</t>
  </si>
  <si>
    <t>Reg</t>
  </si>
  <si>
    <t>Trans</t>
  </si>
  <si>
    <t>Private Res.</t>
  </si>
  <si>
    <t>Max Mileage</t>
  </si>
  <si>
    <t>DOB | Phone #</t>
  </si>
  <si>
    <t>Table_Provinces</t>
  </si>
  <si>
    <t>Province</t>
  </si>
  <si>
    <t>Abbr</t>
  </si>
  <si>
    <t>Newfoundland and Labrador</t>
  </si>
  <si>
    <t>NL</t>
  </si>
  <si>
    <t>Prince Edward Island</t>
  </si>
  <si>
    <t>PE</t>
  </si>
  <si>
    <t>Nova Scotia</t>
  </si>
  <si>
    <t>NS</t>
  </si>
  <si>
    <t>New Brunswick</t>
  </si>
  <si>
    <t>NB</t>
  </si>
  <si>
    <t>Quebec</t>
  </si>
  <si>
    <t>QC</t>
  </si>
  <si>
    <t>Ontario</t>
  </si>
  <si>
    <t>ON</t>
  </si>
  <si>
    <t>Manitoba</t>
  </si>
  <si>
    <t>MB</t>
  </si>
  <si>
    <t>Saskatchewan</t>
  </si>
  <si>
    <t>SK</t>
  </si>
  <si>
    <t>Alberta</t>
  </si>
  <si>
    <t>AB</t>
  </si>
  <si>
    <t>British Columbia</t>
  </si>
  <si>
    <t>BC</t>
  </si>
  <si>
    <t>Yukon</t>
  </si>
  <si>
    <t>YT</t>
  </si>
  <si>
    <t>Northwest Territories</t>
  </si>
  <si>
    <t>NT</t>
  </si>
  <si>
    <t>Nunavut</t>
  </si>
  <si>
    <t>NU</t>
  </si>
  <si>
    <t>Dropdown_ProvinceAbbr</t>
  </si>
  <si>
    <t>Table_Range</t>
  </si>
  <si>
    <t>Dropdown_Range</t>
  </si>
  <si>
    <t>Table_SubmittingPortfolio</t>
  </si>
  <si>
    <t>Total Expenses Claimed</t>
  </si>
  <si>
    <t>Expense Summary</t>
  </si>
  <si>
    <t>Total Expenses Eligible</t>
  </si>
  <si>
    <t>Less: Advance</t>
  </si>
  <si>
    <t>Purpose</t>
  </si>
  <si>
    <t>Table_Purpose</t>
  </si>
  <si>
    <t>Dropdown_Purpose</t>
  </si>
  <si>
    <t>Form Required Available</t>
  </si>
  <si>
    <t>Requester</t>
  </si>
  <si>
    <t>Table_Requester</t>
  </si>
  <si>
    <t>Dropdown_Requester</t>
  </si>
  <si>
    <t>Employer (No Form Required)</t>
  </si>
  <si>
    <t>Employee (Application Form Required)</t>
  </si>
  <si>
    <t>TRAVEL EXPENSE SUMMARY</t>
  </si>
  <si>
    <t>Additional Details</t>
  </si>
  <si>
    <t>Not Used</t>
  </si>
  <si>
    <t>Used</t>
  </si>
  <si>
    <t>Field05_City</t>
  </si>
  <si>
    <t>Field06A_Province</t>
  </si>
  <si>
    <t>Field06B_PostalCode</t>
  </si>
  <si>
    <t>=Table_Provinces[Abbr]</t>
  </si>
  <si>
    <t>=Table_Range[Range]</t>
  </si>
  <si>
    <t>Dropdown_SubmittingPortfolio</t>
  </si>
  <si>
    <t>=Table_SubmittingPortfolio[Submitting Portfolio]</t>
  </si>
  <si>
    <t>='Travel Expense Summary'!$C$12</t>
  </si>
  <si>
    <t>='Travel Expense Summary'!$C$13</t>
  </si>
  <si>
    <t>='Travel Expense Summary'!$C$14</t>
  </si>
  <si>
    <t>='Travel Expense Summary'!$C$15</t>
  </si>
  <si>
    <t>='Travel Expense Summary'!$C$16</t>
  </si>
  <si>
    <t>='Travel Expense Summary'!$C$17</t>
  </si>
  <si>
    <t>='Travel Expense Summary'!$C$18</t>
  </si>
  <si>
    <t>='Travel Expense Summary'!$C$22</t>
  </si>
  <si>
    <t>='Travel Expense Summary'!$C$21</t>
  </si>
  <si>
    <t>='Travel Expense Summary'!$C$23</t>
  </si>
  <si>
    <t>='Travel Expense Summary'!$C$27</t>
  </si>
  <si>
    <t>='Travel Expense Summary'!$C$28</t>
  </si>
  <si>
    <t>='Travel Expense Summary'!$C$29</t>
  </si>
  <si>
    <t>='Travel Expense Summary'!$C$30</t>
  </si>
  <si>
    <t>='Travel Expense Summary'!$C$31</t>
  </si>
  <si>
    <t>='Travel Expense Summary'!$C$32</t>
  </si>
  <si>
    <t>='Travel Expense Summary'!$C$35</t>
  </si>
  <si>
    <t>='Travel Expense Summary'!$C$36</t>
  </si>
  <si>
    <t>='Travel Expense Summary'!$C$3</t>
  </si>
  <si>
    <t>='Travel Expense Summary'!$C$1</t>
  </si>
  <si>
    <t>='Travel Expense Summary'!$P$13:$P$22</t>
  </si>
  <si>
    <t>='Travel Expense Summary'!$P$13</t>
  </si>
  <si>
    <t>='Travel Expense Summary'!$P$14</t>
  </si>
  <si>
    <t>='Travel Expense Summary'!$P$15</t>
  </si>
  <si>
    <t>='Travel Expense Summary'!$P$16</t>
  </si>
  <si>
    <t>='Travel Expense Summary'!$P$17</t>
  </si>
  <si>
    <t>='Travel Expense Summary'!$P$18</t>
  </si>
  <si>
    <t>='Travel Expense Summary'!$P$19</t>
  </si>
  <si>
    <t>='Travel Expense Summary'!$P$20</t>
  </si>
  <si>
    <t>='Travel Expense Summary'!$P$21</t>
  </si>
  <si>
    <t>='Travel Expense Summary'!$P$22</t>
  </si>
  <si>
    <t>='Travel Expense Summary'!$R$13,'Travel Expense Summary'!$S$13,'Travel Expense Summary'!$T$13</t>
  </si>
  <si>
    <t>='Travel Expense Summary'!$R$14,'Travel Expense Summary'!$S$14,'Travel Expense Summary'!$T$14</t>
  </si>
  <si>
    <t>='Travel Expense Summary'!$R$15,'Travel Expense Summary'!$S$15,'Travel Expense Summary'!$T$15</t>
  </si>
  <si>
    <t>='Travel Expense Summary'!$R$16,'Travel Expense Summary'!$S$16,'Travel Expense Summary'!$T$16</t>
  </si>
  <si>
    <t>='Travel Expense Summary'!$R$17,'Travel Expense Summary'!$S$17,'Travel Expense Summary'!$T$17</t>
  </si>
  <si>
    <t>='Travel Expense Summary'!$R$18,'Travel Expense Summary'!$S$18,'Travel Expense Summary'!$T$18</t>
  </si>
  <si>
    <t>='Travel Expense Summary'!$R$19,'Travel Expense Summary'!$S$19,'Travel Expense Summary'!$T$19</t>
  </si>
  <si>
    <t>='Travel Expense Summary'!$R$20,'Travel Expense Summary'!$S$20,'Travel Expense Summary'!$T$20</t>
  </si>
  <si>
    <t>='Travel Expense Summary'!$R$21,'Travel Expense Summary'!$S$21,'Travel Expense Summary'!$T$21</t>
  </si>
  <si>
    <t>='Travel Expense Summary'!$R$22,'Travel Expense Summary'!$S$22,'Travel Expense Summary'!$T$22</t>
  </si>
  <si>
    <t>Other_DateArray</t>
  </si>
  <si>
    <t>Other_DescriptionArray</t>
  </si>
  <si>
    <t>Other_ExpenseTypeArray</t>
  </si>
  <si>
    <t>Other_FromArray</t>
  </si>
  <si>
    <t>Other_KMArray</t>
  </si>
  <si>
    <t>Other_ReceiptAmountArray</t>
  </si>
  <si>
    <t>Other_ToArray</t>
  </si>
  <si>
    <t>='Travel Expense Summary'!$P$13:$U$22,'Travel Expense Summary'!$I$27:$Y$36</t>
  </si>
  <si>
    <t>='Travel Expense Summary'!$P$13+'Travel Expense Summary'!$P$13:$Z$22</t>
  </si>
  <si>
    <t>='Travel Expense Summary'!$J$27:$Z$36</t>
  </si>
  <si>
    <t>='Travel Expense Summary'!$Z$38</t>
  </si>
  <si>
    <t>City is blank</t>
  </si>
  <si>
    <t>Province is blank</t>
  </si>
  <si>
    <r>
      <t xml:space="preserve">Maximum Amount </t>
    </r>
    <r>
      <rPr>
        <b/>
        <sz val="8"/>
        <rFont val="Arial"/>
        <family val="2"/>
      </rPr>
      <t>(if applicable)</t>
    </r>
  </si>
  <si>
    <t>Field07A_AddressType</t>
  </si>
  <si>
    <t>Field07B_Email</t>
  </si>
  <si>
    <t>='Travel Expense Summary'!$C$19</t>
  </si>
  <si>
    <t>Field07C_DOB</t>
  </si>
  <si>
    <t>='Travel Expense Summary'!$C$20</t>
  </si>
  <si>
    <t>Field07D_Phone</t>
  </si>
  <si>
    <t>='Travel Expense Summary'!$E$20</t>
  </si>
  <si>
    <t>Field08_Portfolio</t>
  </si>
  <si>
    <t>Field09_PayeeType</t>
  </si>
  <si>
    <t>Address Type is blank</t>
  </si>
  <si>
    <t>Email is blank</t>
  </si>
  <si>
    <t>Date of Birth is blank</t>
  </si>
  <si>
    <t>Phone # is blank</t>
  </si>
  <si>
    <t>Enter your birthdate in any format recognizable by Excel.</t>
  </si>
  <si>
    <t>=Table_Conference[Purpose]</t>
  </si>
  <si>
    <t>Field19_Purpose</t>
  </si>
  <si>
    <t>='Travel Expense Summary'!$C$37</t>
  </si>
  <si>
    <t>='Travel Expense Summary'!$C$38</t>
  </si>
  <si>
    <t>Field21_Description</t>
  </si>
  <si>
    <t>HideRequester</t>
  </si>
  <si>
    <t>Broaden the possibilities??</t>
  </si>
  <si>
    <t>Conference?</t>
  </si>
  <si>
    <t>Course?</t>
  </si>
  <si>
    <t>Educational?</t>
  </si>
  <si>
    <t>Purpose is blank</t>
  </si>
  <si>
    <t>This field is to help determine whether or not you need to include an 'Applicanation for Conference Attendance' with your claim.</t>
  </si>
  <si>
    <t>Requester is blank</t>
  </si>
  <si>
    <t>Other Expenses</t>
  </si>
  <si>
    <t>Transportation &amp; Accommodation</t>
  </si>
  <si>
    <t>=Table_Requester[Requester]</t>
  </si>
  <si>
    <t>=IFERROR(NOT(VLOOKUP(Field19_Purpose,Table_Conference,MATCH(Table_Conference[[#Headers],[Form Required Available]],Table_Conference[#Headers],0),FALSE)),FALSE)</t>
  </si>
  <si>
    <t>Total_Advance</t>
  </si>
  <si>
    <t>=IF(IFERROR(VLOOKUP(Field17_ClaimType,Table_ClaimType,MATCH(Table_ClaimType[[#Headers],[Advance Amount Available]],Table_ClaimType[#Headers],0),FALSE),FALSE),-Field18_TravelAdvanceAmount,0)</t>
  </si>
  <si>
    <t>Total_Eligible</t>
  </si>
  <si>
    <t>Total_ExpenseClaimed</t>
  </si>
  <si>
    <t>Total_Meals</t>
  </si>
  <si>
    <t>Total_Other</t>
  </si>
  <si>
    <t>Total_Payable</t>
  </si>
  <si>
    <t>=Total_Eligible+Total_Advance</t>
  </si>
  <si>
    <t>Total_Registration</t>
  </si>
  <si>
    <t>Total_TransAccomm</t>
  </si>
  <si>
    <t>Requested By</t>
  </si>
  <si>
    <t>Phone #</t>
  </si>
  <si>
    <t>Field23_ContactName</t>
  </si>
  <si>
    <t>Field24_ContactEmail</t>
  </si>
  <si>
    <t>Field25_ContactPhone</t>
  </si>
  <si>
    <t>='Travel Expense Summary'!$AE$24</t>
  </si>
  <si>
    <t>Field20_RequestedBy</t>
  </si>
  <si>
    <t>='Travel Expense Summary'!$H$13</t>
  </si>
  <si>
    <t>='Travel Expense Summary'!$J$21</t>
  </si>
  <si>
    <t>='Travel Expense Summary'!$J$22</t>
  </si>
  <si>
    <t>='Travel Expense Summary'!$J$23</t>
  </si>
  <si>
    <t>Field30_MaximumAmount</t>
  </si>
  <si>
    <t>Field31_MaximumReason</t>
  </si>
  <si>
    <t>Others_Date01</t>
  </si>
  <si>
    <t>='Travel Expense Summary'!$I$27</t>
  </si>
  <si>
    <t>Others_Date02</t>
  </si>
  <si>
    <t>='Travel Expense Summary'!$I$28</t>
  </si>
  <si>
    <t>Others_Date03</t>
  </si>
  <si>
    <t>='Travel Expense Summary'!$I$29</t>
  </si>
  <si>
    <t>Others_Date04</t>
  </si>
  <si>
    <t>='Travel Expense Summary'!$I$30</t>
  </si>
  <si>
    <t>Others_Date05</t>
  </si>
  <si>
    <t>='Travel Expense Summary'!$I$31</t>
  </si>
  <si>
    <t>Others_Date06</t>
  </si>
  <si>
    <t>='Travel Expense Summary'!$I$32</t>
  </si>
  <si>
    <t>Others_Date07</t>
  </si>
  <si>
    <t>='Travel Expense Summary'!$I$33</t>
  </si>
  <si>
    <t>Others_Date08</t>
  </si>
  <si>
    <t>='Travel Expense Summary'!$I$34</t>
  </si>
  <si>
    <t>Others_Date09</t>
  </si>
  <si>
    <t>='Travel Expense Summary'!$I$35</t>
  </si>
  <si>
    <t>Others_Date10</t>
  </si>
  <si>
    <t>='Travel Expense Summary'!$I$36</t>
  </si>
  <si>
    <t>Others_Date11</t>
  </si>
  <si>
    <t>='Travel Expense Summary'!$I$37</t>
  </si>
  <si>
    <t>=IF(OR(Field30_MaximumAmount=0,Field30_MaximumAmount=""),Total_ExpenseClaimed,IF(Field30_MaximumAmount&lt;=Total_ExpenseClaimed,Field30_MaximumAmount,Total_ExpenseClaimed))</t>
  </si>
  <si>
    <t>Contact Name is blank (when other info entered)</t>
  </si>
  <si>
    <t>Contact Email is blank (when other info entered)</t>
  </si>
  <si>
    <t>Contact Phone # is blank (when other info entered)</t>
  </si>
  <si>
    <t>Enter 'Contact Phone Number'</t>
  </si>
  <si>
    <t>Select 'Requested By'</t>
  </si>
  <si>
    <t>Dr.</t>
  </si>
  <si>
    <t>Mr.</t>
  </si>
  <si>
    <t>Length</t>
  </si>
  <si>
    <t>MAX LENGTH</t>
  </si>
  <si>
    <t>Too Long?</t>
  </si>
  <si>
    <t>Adjusted #1</t>
  </si>
  <si>
    <t>Adjusted #2</t>
  </si>
  <si>
    <t>New Length 2</t>
  </si>
  <si>
    <t>New Length 1</t>
  </si>
  <si>
    <t>Too Long</t>
  </si>
  <si>
    <t>Adjusted #3</t>
  </si>
  <si>
    <t>New Length 3</t>
  </si>
  <si>
    <t>Original</t>
  </si>
  <si>
    <t>Thunder Bay</t>
  </si>
  <si>
    <t>This field identifies whether or not conference travel was intitiated by the organization or the payee to determine the documentation required.</t>
  </si>
  <si>
    <t>Select who conference travel was 'Requested By' from the in-cell dropdwn list.</t>
  </si>
  <si>
    <t>Select a 'Purpose' from the in-cell dropdown list. If this is not Conference Travel, select 'Other'.</t>
  </si>
  <si>
    <r>
      <rPr>
        <b/>
        <u/>
        <sz val="7.5"/>
        <color theme="1"/>
        <rFont val="Arial"/>
        <family val="2"/>
      </rPr>
      <t>PRIVACY STATEMENT</t>
    </r>
    <r>
      <rPr>
        <sz val="7.5"/>
        <color theme="1"/>
        <rFont val="Arial"/>
        <family val="2"/>
      </rPr>
      <t>: Protection of Personal Information: The Northern Ontario School of Medicine protects your privacy and your personal information.  The personal information requested on this form is collected under the authority of the Letters Patent of the Northern Ontario School of Medicine dated November 15, 2002, and in accordance with the Freedom of Information and Protection of the Privacy Act.  Personal information collected is used by the School for the purposes of executing various functions and activities related to Administration processes. Users of this information are the Finance Unit of the Office of the Chief Administrative Officer.  Please direct any questions about this collection to the Director of Finance, Northern Ontario School of Medicine, 955 Oliver Road, Thunder Bay, Ontario, P7B 5E1, Telephone: (807) 766-7307.</t>
    </r>
  </si>
  <si>
    <t>='Text Summary'!$B$3</t>
  </si>
  <si>
    <t>='Text Summary'!$B$2</t>
  </si>
  <si>
    <t>FromRequired</t>
  </si>
  <si>
    <t>ToRequired</t>
  </si>
  <si>
    <t>DescriptionRequired</t>
  </si>
  <si>
    <t>ReceiptRequired</t>
  </si>
  <si>
    <t>KMRequired</t>
  </si>
  <si>
    <t>Enter 'Date' to match information entered on Other Expenses Line #1.</t>
  </si>
  <si>
    <t>Others_Expense01</t>
  </si>
  <si>
    <t>='Travel Expense Summary'!$T$36</t>
  </si>
  <si>
    <t>Others_Desc01</t>
  </si>
  <si>
    <t>='Travel Expense Summary'!$M$27</t>
  </si>
  <si>
    <t>Others_Desc02</t>
  </si>
  <si>
    <t>='Travel Expense Summary'!$M$28</t>
  </si>
  <si>
    <t>Others_Desc03</t>
  </si>
  <si>
    <t>='Travel Expense Summary'!$M$29</t>
  </si>
  <si>
    <t>Others_Desc04</t>
  </si>
  <si>
    <t>='Travel Expense Summary'!$M$30</t>
  </si>
  <si>
    <t>Others_Desc05</t>
  </si>
  <si>
    <t>='Travel Expense Summary'!$M$31</t>
  </si>
  <si>
    <t>Others_Desc06</t>
  </si>
  <si>
    <t>='Travel Expense Summary'!$M$32</t>
  </si>
  <si>
    <t>Others_Desc07</t>
  </si>
  <si>
    <t>='Travel Expense Summary'!$M$33</t>
  </si>
  <si>
    <t>Others_Desc08</t>
  </si>
  <si>
    <t>='Travel Expense Summary'!$M$34</t>
  </si>
  <si>
    <t>Others_Desc09</t>
  </si>
  <si>
    <t>='Travel Expense Summary'!$M$35</t>
  </si>
  <si>
    <t>Others_Desc10</t>
  </si>
  <si>
    <t>='Travel Expense Summary'!$M$36</t>
  </si>
  <si>
    <t>Others_Desc11</t>
  </si>
  <si>
    <t>='Travel Expense Summary'!$M$37</t>
  </si>
  <si>
    <t>='Travel Expense Summary'!$K$27</t>
  </si>
  <si>
    <t>Others_Expense02</t>
  </si>
  <si>
    <t>='Travel Expense Summary'!$K$28</t>
  </si>
  <si>
    <t>Others_Expense03</t>
  </si>
  <si>
    <t>='Travel Expense Summary'!$K$29</t>
  </si>
  <si>
    <t>Others_Expense04</t>
  </si>
  <si>
    <t>='Travel Expense Summary'!$K$30</t>
  </si>
  <si>
    <t>Others_Expense05</t>
  </si>
  <si>
    <t>='Travel Expense Summary'!$K$31</t>
  </si>
  <si>
    <t>Others_Expense06</t>
  </si>
  <si>
    <t>='Travel Expense Summary'!$K$32</t>
  </si>
  <si>
    <t>Others_Expense07</t>
  </si>
  <si>
    <t>='Travel Expense Summary'!$K$33</t>
  </si>
  <si>
    <t>Others_Expense08</t>
  </si>
  <si>
    <t>='Travel Expense Summary'!$K$34</t>
  </si>
  <si>
    <t>Others_Expense09</t>
  </si>
  <si>
    <t>='Travel Expense Summary'!$K$35</t>
  </si>
  <si>
    <t>Others_Expense10</t>
  </si>
  <si>
    <t>='Travel Expense Summary'!$K$36</t>
  </si>
  <si>
    <t>Others_Expense11</t>
  </si>
  <si>
    <t>='Travel Expense Summary'!$K$37</t>
  </si>
  <si>
    <t>Others_From01</t>
  </si>
  <si>
    <t>='Travel Expense Summary'!$R$27</t>
  </si>
  <si>
    <t>Others_From02</t>
  </si>
  <si>
    <t>='Travel Expense Summary'!$R$28</t>
  </si>
  <si>
    <t>Others_From03</t>
  </si>
  <si>
    <t>='Travel Expense Summary'!$R$29</t>
  </si>
  <si>
    <t>Others_From04</t>
  </si>
  <si>
    <t>='Travel Expense Summary'!$R$30</t>
  </si>
  <si>
    <t>Others_From05</t>
  </si>
  <si>
    <t>='Travel Expense Summary'!$R$31</t>
  </si>
  <si>
    <t>Others_From06</t>
  </si>
  <si>
    <t>='Travel Expense Summary'!$R$32</t>
  </si>
  <si>
    <t>Others_From07</t>
  </si>
  <si>
    <t>='Travel Expense Summary'!$R$33</t>
  </si>
  <si>
    <t>Others_From08</t>
  </si>
  <si>
    <t>='Travel Expense Summary'!$R$34</t>
  </si>
  <si>
    <t>Others_From09</t>
  </si>
  <si>
    <t>='Travel Expense Summary'!$R$35</t>
  </si>
  <si>
    <t>Others_From10</t>
  </si>
  <si>
    <t>='Travel Expense Summary'!$R$36</t>
  </si>
  <si>
    <t>Others_From11</t>
  </si>
  <si>
    <t>='Travel Expense Summary'!$R$37</t>
  </si>
  <si>
    <t>Others_KM01</t>
  </si>
  <si>
    <t>='Travel Expense Summary'!$Y$27</t>
  </si>
  <si>
    <t>Others_KM02</t>
  </si>
  <si>
    <t>='Travel Expense Summary'!$Y$28</t>
  </si>
  <si>
    <t>Others_KM03</t>
  </si>
  <si>
    <t>='Travel Expense Summary'!$Y$29</t>
  </si>
  <si>
    <t>Others_KM04</t>
  </si>
  <si>
    <t>='Travel Expense Summary'!$Y$30</t>
  </si>
  <si>
    <t>Others_KM05</t>
  </si>
  <si>
    <t>='Travel Expense Summary'!$Y$31</t>
  </si>
  <si>
    <t>Others_KM06</t>
  </si>
  <si>
    <t>='Travel Expense Summary'!$Y$32</t>
  </si>
  <si>
    <t>Others_KM07</t>
  </si>
  <si>
    <t>='Travel Expense Summary'!$Y$33</t>
  </si>
  <si>
    <t>Others_KM08</t>
  </si>
  <si>
    <t>='Travel Expense Summary'!$Y$34</t>
  </si>
  <si>
    <t>Others_KM09</t>
  </si>
  <si>
    <t>='Travel Expense Summary'!$Y$35</t>
  </si>
  <si>
    <t>Others_KM10</t>
  </si>
  <si>
    <t>='Travel Expense Summary'!$Y$36</t>
  </si>
  <si>
    <t>Others_KM11</t>
  </si>
  <si>
    <t>='Travel Expense Summary'!$Y$37</t>
  </si>
  <si>
    <t>Others_Receipt01</t>
  </si>
  <si>
    <t>='Travel Expense Summary'!$X$27</t>
  </si>
  <si>
    <t>Others_Receipt02</t>
  </si>
  <si>
    <t>='Travel Expense Summary'!$X$28</t>
  </si>
  <si>
    <t>Others_Receipt03</t>
  </si>
  <si>
    <t>='Travel Expense Summary'!$X$29</t>
  </si>
  <si>
    <t>Others_Receipt04</t>
  </si>
  <si>
    <t>='Travel Expense Summary'!$X$30</t>
  </si>
  <si>
    <t>Others_Receipt05</t>
  </si>
  <si>
    <t>='Travel Expense Summary'!$X$31</t>
  </si>
  <si>
    <t>Others_Receipt06</t>
  </si>
  <si>
    <t>='Travel Expense Summary'!$X$32</t>
  </si>
  <si>
    <t>Others_Receipt07</t>
  </si>
  <si>
    <t>='Travel Expense Summary'!$X$33</t>
  </si>
  <si>
    <t>Others_Receipt08</t>
  </si>
  <si>
    <t>='Travel Expense Summary'!$X$34</t>
  </si>
  <si>
    <t>Others_Receipt09</t>
  </si>
  <si>
    <t>='Travel Expense Summary'!$X$35</t>
  </si>
  <si>
    <t>Others_Receipt10</t>
  </si>
  <si>
    <t>='Travel Expense Summary'!$X$36</t>
  </si>
  <si>
    <t>Others_Receipt11</t>
  </si>
  <si>
    <t>='Travel Expense Summary'!$X$37</t>
  </si>
  <si>
    <t>Others_To01</t>
  </si>
  <si>
    <t>='Travel Expense Summary'!$T$27</t>
  </si>
  <si>
    <t>Others_To02</t>
  </si>
  <si>
    <t>='Travel Expense Summary'!$T$28</t>
  </si>
  <si>
    <t>Others_To03</t>
  </si>
  <si>
    <t>='Travel Expense Summary'!$T$29</t>
  </si>
  <si>
    <t>Others_To04</t>
  </si>
  <si>
    <t>='Travel Expense Summary'!$T$30</t>
  </si>
  <si>
    <t>Others_To05</t>
  </si>
  <si>
    <t>='Travel Expense Summary'!$T$31</t>
  </si>
  <si>
    <t>Others_To06</t>
  </si>
  <si>
    <t>='Travel Expense Summary'!$T$32</t>
  </si>
  <si>
    <t>Others_To07</t>
  </si>
  <si>
    <t>='Travel Expense Summary'!$T$33</t>
  </si>
  <si>
    <t>Others_To08</t>
  </si>
  <si>
    <t>='Travel Expense Summary'!$T$34</t>
  </si>
  <si>
    <t>Others_To09</t>
  </si>
  <si>
    <t>='Travel Expense Summary'!$T$35</t>
  </si>
  <si>
    <t>Others_To11</t>
  </si>
  <si>
    <t>='Travel Expense Summary'!$T$37</t>
  </si>
  <si>
    <t>Others 01 Date Error</t>
  </si>
  <si>
    <t>Others 01 Expense Error</t>
  </si>
  <si>
    <t>Select 'Expense Type' to match information entered on Other Expenses Line #1</t>
  </si>
  <si>
    <t>Select 'Expense Type' from the in-cell dropdown list.</t>
  </si>
  <si>
    <t>Others 01 Description Error</t>
  </si>
  <si>
    <t>Enter 'Description' to match information entered on Other Expenses Line #1.</t>
  </si>
  <si>
    <t>The required information for the line will change based on the 'Expense Type' selected.</t>
  </si>
  <si>
    <t>Enter the amount of the 'Travel Advance' you received with respect to this trip.</t>
  </si>
  <si>
    <t>Others 01 From Error</t>
  </si>
  <si>
    <t>Others 01 To Error</t>
  </si>
  <si>
    <t>Others 01 Receipt Error</t>
  </si>
  <si>
    <t>Others 01 KM Error</t>
  </si>
  <si>
    <t>Enter 'Receipt Amount' to match information entered on Other Expenses Line #1.</t>
  </si>
  <si>
    <t>Enter 'KMs Travelled' to match information entered on Other Expenses Line #1.</t>
  </si>
  <si>
    <t>Others 02 Date Error</t>
  </si>
  <si>
    <t>Others 02 Expense Error</t>
  </si>
  <si>
    <t>Others 02 Description Error</t>
  </si>
  <si>
    <t>Others 02 From Error</t>
  </si>
  <si>
    <t>Others 02 To Error</t>
  </si>
  <si>
    <t>Others 02 Receipt Error</t>
  </si>
  <si>
    <t>Others 02 KM Error</t>
  </si>
  <si>
    <t>Enter 'Date' to match information entered on Other Expenses Line #2.</t>
  </si>
  <si>
    <t>Select 'Expense Type' to match information entered on Other Expenses Line #2</t>
  </si>
  <si>
    <t>Enter 'Description' to match information entered on Other Expenses Line #2.</t>
  </si>
  <si>
    <t>Enter 'Receipt Amount' to match information entered on Other Expenses Line #2.</t>
  </si>
  <si>
    <t>Enter 'KMs Travelled' to match information entered on Other Expenses Line #2.</t>
  </si>
  <si>
    <t>If the expense was incurred in a foreign currency, enter the Canadian equivalent and include supporting documentation for your exchange rate.</t>
  </si>
  <si>
    <t>Others 03 Date Error</t>
  </si>
  <si>
    <t>Others 03 Expense Error</t>
  </si>
  <si>
    <t>Others 03 Description Error</t>
  </si>
  <si>
    <t>Others 03 From Error</t>
  </si>
  <si>
    <t>Others 03 To Error</t>
  </si>
  <si>
    <t>Others 03 Receipt Error</t>
  </si>
  <si>
    <t>Others 03 KM Error</t>
  </si>
  <si>
    <t>Enter 'Date' to match information entered on Other Expenses Line #3.</t>
  </si>
  <si>
    <t>Select 'Expense Type' to match information entered on Other Expenses Line #3</t>
  </si>
  <si>
    <t>Enter 'Description' to match information entered on Other Expenses Line #3.</t>
  </si>
  <si>
    <t>Enter 'Receipt Amount' to match information entered on Other Expenses Line #3.</t>
  </si>
  <si>
    <t>Enter 'KMs Travelled' to match information entered on Other Expenses Line #3.</t>
  </si>
  <si>
    <t>Others 04 Date Error</t>
  </si>
  <si>
    <t>Others 04 Expense Error</t>
  </si>
  <si>
    <t>Others 04 Description Error</t>
  </si>
  <si>
    <t>Others 04 From Error</t>
  </si>
  <si>
    <t>Others 04 To Error</t>
  </si>
  <si>
    <t>Others 04 Receipt Error</t>
  </si>
  <si>
    <t>Others 04 KM Error</t>
  </si>
  <si>
    <t>Enter 'Date' to match information entered on Other Expenses Line #4.</t>
  </si>
  <si>
    <t>Select 'Expense Type' to match information entered on Other Expenses Line #4</t>
  </si>
  <si>
    <t>Enter 'Description' to match information entered on Other Expenses Line #4.</t>
  </si>
  <si>
    <t>Enter 'Receipt Amount' to match information entered on Other Expenses Line #4.</t>
  </si>
  <si>
    <t>Enter 'KMs Travelled' to match information entered on Other Expenses Line #4.</t>
  </si>
  <si>
    <t>Others 05 Date Error</t>
  </si>
  <si>
    <t>Others 05 Expense Error</t>
  </si>
  <si>
    <t>Others 05 Description Error</t>
  </si>
  <si>
    <t>Others 05 From Error</t>
  </si>
  <si>
    <t>Others 05 To Error</t>
  </si>
  <si>
    <t>Others 05 Receipt Error</t>
  </si>
  <si>
    <t>Others 05 KM Error</t>
  </si>
  <si>
    <t>Enter 'Date' to match information entered on Other Expenses Line #5.</t>
  </si>
  <si>
    <t>Select 'Expense Type' to match information entered on Other Expenses Line #5</t>
  </si>
  <si>
    <t>Enter 'Description' to match information entered on Other Expenses Line #5.</t>
  </si>
  <si>
    <t>Enter 'Receipt Amount' to match information entered on Other Expenses Line #5.</t>
  </si>
  <si>
    <t>Enter 'KMs Travelled' to match information entered on Other Expenses Line #5.</t>
  </si>
  <si>
    <t>Others 06 Date Error</t>
  </si>
  <si>
    <t>Others 06 Expense Error</t>
  </si>
  <si>
    <t>Others 06 Description Error</t>
  </si>
  <si>
    <t>Others 06 From Error</t>
  </si>
  <si>
    <t>Others 06 To Error</t>
  </si>
  <si>
    <t>Others 06 Receipt Error</t>
  </si>
  <si>
    <t>Others 06 KM Error</t>
  </si>
  <si>
    <t>Enter 'Date' to match information entered on Other Expenses Line #6.</t>
  </si>
  <si>
    <t>Select 'Expense Type' to match information entered on Other Expenses Line #6</t>
  </si>
  <si>
    <t>Enter 'Description' to match information entered on Other Expenses Line #6.</t>
  </si>
  <si>
    <t>Enter 'Receipt Amount' to match information entered on Other Expenses Line #6.</t>
  </si>
  <si>
    <t>Enter 'KMs Travelled' to match information entered on Other Expenses Line #6.</t>
  </si>
  <si>
    <t>Others 07 Date Error</t>
  </si>
  <si>
    <t>Others 07 Expense Error</t>
  </si>
  <si>
    <t>Others 07 Description Error</t>
  </si>
  <si>
    <t>Others 07 From Error</t>
  </si>
  <si>
    <t>Others 07 To Error</t>
  </si>
  <si>
    <t>Others 07 Receipt Error</t>
  </si>
  <si>
    <t>Others 07 KM Error</t>
  </si>
  <si>
    <t>Others 08 Date Error</t>
  </si>
  <si>
    <t>Others 08 Expense Error</t>
  </si>
  <si>
    <t>Others 08 Description Error</t>
  </si>
  <si>
    <t>Others 08 From Error</t>
  </si>
  <si>
    <t>Others 08 To Error</t>
  </si>
  <si>
    <t>Others 08 Receipt Error</t>
  </si>
  <si>
    <t>Others 08 KM Error</t>
  </si>
  <si>
    <t>Enter 'Date' to match information entered on Other Expenses Line #7.</t>
  </si>
  <si>
    <t>Select 'Expense Type' to match information entered on Other Expenses Line #7</t>
  </si>
  <si>
    <t>Enter 'Description' to match information entered on Other Expenses Line #7.</t>
  </si>
  <si>
    <t>Enter 'Receipt Amount' to match information entered on Other Expenses Line #7.</t>
  </si>
  <si>
    <t>Enter 'KMs Travelled' to match information entered on Other Expenses Line #7.</t>
  </si>
  <si>
    <t>Enter 'Date' to match information entered on Other Expenses Line #8.</t>
  </si>
  <si>
    <t>Select 'Expense Type' to match information entered on Other Expenses Line #8</t>
  </si>
  <si>
    <t>Enter 'Description' to match information entered on Other Expenses Line #8.</t>
  </si>
  <si>
    <t>Enter 'Receipt Amount' to match information entered on Other Expenses Line #8.</t>
  </si>
  <si>
    <t>Enter 'KMs Travelled' to match information entered on Other Expenses Line #8.</t>
  </si>
  <si>
    <t>Others 09 Date Error</t>
  </si>
  <si>
    <t>Others 09 Expense Error</t>
  </si>
  <si>
    <t>Others 09 Description Error</t>
  </si>
  <si>
    <t>Others 09 From Error</t>
  </si>
  <si>
    <t>Others 09 To Error</t>
  </si>
  <si>
    <t>Others 09 Receipt Error</t>
  </si>
  <si>
    <t>Others 09 KM Error</t>
  </si>
  <si>
    <t>Enter 'Date' to match information entered on Other Expenses Line #9.</t>
  </si>
  <si>
    <t>Select 'Expense Type' to match information entered on Other Expenses Line #9</t>
  </si>
  <si>
    <t>Enter 'Description' to match information entered on Other Expenses Line #9.</t>
  </si>
  <si>
    <t>Enter 'Receipt Amount' to match information entered on Other Expenses Line #9.</t>
  </si>
  <si>
    <t>Enter 'KMs Travelled' to match information entered on Other Expenses Line #9.</t>
  </si>
  <si>
    <t>Others_To10</t>
  </si>
  <si>
    <t>Others 10 Date Error</t>
  </si>
  <si>
    <t>Others 10 Expense Error</t>
  </si>
  <si>
    <t>Others 10 Description Error</t>
  </si>
  <si>
    <t>Others 10 From Error</t>
  </si>
  <si>
    <t>Others 10 To Error</t>
  </si>
  <si>
    <t>Others 10 Receipt Error</t>
  </si>
  <si>
    <t>Others 10 KM Error</t>
  </si>
  <si>
    <t>Enter 'Date' to match information entered on Other Expenses Line #10.</t>
  </si>
  <si>
    <t>Select 'Expense Type' to match information entered on Other Expenses Line #10</t>
  </si>
  <si>
    <t>Enter 'Description' to match information entered on Other Expenses Line #10.</t>
  </si>
  <si>
    <t>Enter 'Receipt Amount' to match information entered on Other Expenses Line #10.</t>
  </si>
  <si>
    <t>Enter 'KMs Travelled' to match information entered on Other Expenses Line #10.</t>
  </si>
  <si>
    <t>Others 11 Date Error</t>
  </si>
  <si>
    <t>Others 11 Expense Error</t>
  </si>
  <si>
    <t>Others 11 Description Error</t>
  </si>
  <si>
    <t>Others 11 From Error</t>
  </si>
  <si>
    <t>Others 11 To Error</t>
  </si>
  <si>
    <t>Others 11 Receipt Error</t>
  </si>
  <si>
    <t>Others 11 KM Error</t>
  </si>
  <si>
    <t>Enter 'Date' to match information entered on Other Expenses Line #11.</t>
  </si>
  <si>
    <t>Select 'Expense Type' to match information entered on Other Expenses Line #11</t>
  </si>
  <si>
    <t>Enter 'Description' to match information entered on Other Expenses Line #11.</t>
  </si>
  <si>
    <t>Enter 'Receipt Amount' to match information entered on Other Expenses Line #11.</t>
  </si>
  <si>
    <t>Enter 'KMs Travelled' to match information entered on Other Expenses Line #11.</t>
  </si>
  <si>
    <t>SUM</t>
  </si>
  <si>
    <t>Confirmed</t>
  </si>
  <si>
    <t>Other Total</t>
  </si>
  <si>
    <t>ClaimAllocation_AmountArray</t>
  </si>
  <si>
    <t>ClaimAllocation_Amount1</t>
  </si>
  <si>
    <t>='Travel Expense Summary'!$M$42</t>
  </si>
  <si>
    <t>ClaimAllocation_Amount2</t>
  </si>
  <si>
    <t>='Travel Expense Summary'!$M$43</t>
  </si>
  <si>
    <t>ClaimAllocation_Amount3</t>
  </si>
  <si>
    <t>='Travel Expense Summary'!$M$44</t>
  </si>
  <si>
    <t>ClaimAllocation_Amount4</t>
  </si>
  <si>
    <t>='Travel Expense Summary'!$M$45</t>
  </si>
  <si>
    <t>='Travel Expense Summary'!$M$42,'Travel Expense Summary'!$M$43,'Travel Expense Summary'!$M$44,'Travel Expense Summary'!$M$45</t>
  </si>
  <si>
    <t>ClaimAllocation_GL1</t>
  </si>
  <si>
    <t>='Travel Expense Summary'!$J$42</t>
  </si>
  <si>
    <t>ClaimAllocation_GL2</t>
  </si>
  <si>
    <t>='Travel Expense Summary'!$J$43</t>
  </si>
  <si>
    <t>ClaimAllocation_GL3</t>
  </si>
  <si>
    <t>='Travel Expense Summary'!$J$44</t>
  </si>
  <si>
    <t>ClaimAllocation_GL4</t>
  </si>
  <si>
    <t>='Travel Expense Summary'!$J$45</t>
  </si>
  <si>
    <t>ClaimAllocation_GLArray</t>
  </si>
  <si>
    <t>='Travel Expense Summary'!$J$42:$L$45</t>
  </si>
  <si>
    <t>Other_TotalArray</t>
  </si>
  <si>
    <t>='Travel Expense Summary'!$Z$27:$Z$37</t>
  </si>
  <si>
    <t>=SUMIF(Other_ExpenseTypeArray,"Reg*",Other_TotalArray)</t>
  </si>
  <si>
    <t>=SUMIF(Other_ExpenseTypeArray,"Trans*",Other_TotalArray)+SUMIF(Other_ExpenseTypeArray,"Accomm*",Other_TotalArray)</t>
  </si>
  <si>
    <t>GL 1 Error</t>
  </si>
  <si>
    <t>Enter 'GL Code #1' to match entered amount.</t>
  </si>
  <si>
    <t>Enter a valid 15 digit budget code.</t>
  </si>
  <si>
    <t>Budget code must be entered without spaces or dashes (ie. 101000006300000).</t>
  </si>
  <si>
    <t>GL 2 Error</t>
  </si>
  <si>
    <t>Enter 'GL Code #2' to match entered amount.</t>
  </si>
  <si>
    <t>GL 3 Error</t>
  </si>
  <si>
    <t>GL 4 Error</t>
  </si>
  <si>
    <t>Enter 'GL Code #3' to match entered amount.</t>
  </si>
  <si>
    <t>Enter 'GL Code #4' to match entered amount.</t>
  </si>
  <si>
    <t>$J$42,$J$43,$J$44,$J$45</t>
  </si>
  <si>
    <t>GL Mode Error</t>
  </si>
  <si>
    <t>The same GL code has been entered multiple times. Insure each GL is a unique value.</t>
  </si>
  <si>
    <t>N/A</t>
  </si>
  <si>
    <r>
      <rPr>
        <b/>
        <sz val="7.5"/>
        <color theme="1"/>
        <rFont val="Arial"/>
        <family val="2"/>
      </rPr>
      <t xml:space="preserve">Authorized submissions to: </t>
    </r>
    <r>
      <rPr>
        <sz val="7.5"/>
        <color theme="1"/>
        <rFont val="Arial"/>
        <family val="2"/>
      </rPr>
      <t xml:space="preserve">
NOSM at Lakehead, Finance - BSC
955 Oliver Road
Thunder Bay, ON  P7B 5E1
</t>
    </r>
    <r>
      <rPr>
        <b/>
        <sz val="7.5"/>
        <color theme="1"/>
        <rFont val="Arial"/>
        <family val="2"/>
      </rPr>
      <t>-or-</t>
    </r>
    <r>
      <rPr>
        <sz val="7.5"/>
        <color theme="1"/>
        <rFont val="Arial"/>
        <family val="2"/>
      </rPr>
      <t xml:space="preserve">
NOSM at Laurentian, Finance - MSE
935 Ramsey Lake Road
Sudbury, ON  P3E 2C6
</t>
    </r>
    <r>
      <rPr>
        <b/>
        <sz val="7.5"/>
        <color theme="1"/>
        <rFont val="Arial"/>
        <family val="2"/>
      </rPr>
      <t>Questions &amp; Inquries:</t>
    </r>
    <r>
      <rPr>
        <sz val="7.5"/>
        <color theme="1"/>
        <rFont val="Arial"/>
        <family val="2"/>
      </rPr>
      <t xml:space="preserve">   accountspayable@nosm.ca</t>
    </r>
  </si>
  <si>
    <t>Submitting Portfolio is blank</t>
  </si>
  <si>
    <t>Select 'Submitting Portfolio'</t>
  </si>
  <si>
    <t>Select a 'Submitting Portfolio' from the in-cell dropdown list.</t>
  </si>
  <si>
    <t>Postgraduate Resident</t>
  </si>
  <si>
    <t>HS &amp; IPE Learner</t>
  </si>
  <si>
    <t>Elective Learner</t>
  </si>
  <si>
    <t>(documentation attached)</t>
  </si>
  <si>
    <t xml:space="preserve">Pick Up Cheque </t>
  </si>
  <si>
    <t>(NOSM at Laurentian, Finance Unit)</t>
  </si>
  <si>
    <t>(NOSM at Lakehead, Finance Unit)</t>
  </si>
  <si>
    <t>Enter a 'Description'.</t>
  </si>
  <si>
    <t>Enter a 'Description' of why the travel is occuring.</t>
  </si>
  <si>
    <t xml:space="preserve">Enter 'KM Travelled' for the item listed. You can claim the roundtrip KMs on a single line or claim each leg of your trip on separate lines. </t>
  </si>
  <si>
    <t>Consult the 'Kilometer Matrix' in the Travel Management and Expenses protocol to confirm KM amounts.</t>
  </si>
  <si>
    <t>Enter a 'Description' of the item being claimed.</t>
  </si>
  <si>
    <t>calc</t>
  </si>
  <si>
    <t>manual</t>
  </si>
  <si>
    <t>If this is all your claim items, forward your claim to the appropriate individual for review and approval.</t>
  </si>
  <si>
    <t>If this is not all your items, continue completing '6.0 Meals' and '7.0 Other Expenses'.</t>
  </si>
  <si>
    <t>ClaimAllocation_Fund</t>
  </si>
  <si>
    <t>ISBLANK</t>
  </si>
  <si>
    <t>COUNTIF MATCH FUND</t>
  </si>
  <si>
    <t>Table_ClaimAllocationFund</t>
  </si>
  <si>
    <t>To set a 'FUND' for the travel advance code.</t>
  </si>
  <si>
    <t>Authorization_SubmissionDate</t>
  </si>
  <si>
    <t>='Travel Expense Summary'!$U$43</t>
  </si>
  <si>
    <t>='Travel Expense Summary'!$H$16</t>
  </si>
  <si>
    <t>ReceiptAreaMeals</t>
  </si>
  <si>
    <t>='Travel Expense Summary'!$R$13:$U$22</t>
  </si>
  <si>
    <t>='Travel Expense Summary'!$O$11,'Travel Expense Summary'!$H$25</t>
  </si>
  <si>
    <t>Funding Maximum Amount is greater than eligible travel.</t>
  </si>
  <si>
    <t>The 'Funding Maximum Amount' is not required since it is greater than the 'Total Expenses Eligible'.</t>
  </si>
  <si>
    <t>Review the amount entered as the 'Funding Maximum Amount' and remove if it is not required.</t>
  </si>
  <si>
    <t>Enter a 'Funding Maximum Amount' to match the 'Reason' indicated.</t>
  </si>
  <si>
    <t>Enter an amount greater than zero.</t>
  </si>
  <si>
    <t>Enter a 'Funding Maximum Reason' to match the 'Amount' indicated.</t>
  </si>
  <si>
    <t>Claim Not Allocated Correctly, Less than Eligible</t>
  </si>
  <si>
    <t>Claim Not Allocated Correctly, More than eligible.</t>
  </si>
  <si>
    <t>The 'Claim Allocation Amounts' are greater than the 'Total Expenses Eligible'.</t>
  </si>
  <si>
    <t>Increase the 'Claim Allocation Amounts'.</t>
  </si>
  <si>
    <t>The 'Claim Allocation Amounts' are less than the 'Total Expenses Eligible'.</t>
  </si>
  <si>
    <t>For example, it could be entered in full (ie. January 1, 2000) or it can be entered as DD/MM/YY or YYYY/MM/DD.</t>
  </si>
  <si>
    <t>Enter a 'Travel Start Date' in any format recognizable by Excel.</t>
  </si>
  <si>
    <t>Enter a 'Submission Date'.</t>
  </si>
  <si>
    <t>MAX LENGTH MESSAGE LINE</t>
  </si>
  <si>
    <t>Message Bar Length</t>
  </si>
  <si>
    <t>Details 1 Length</t>
  </si>
  <si>
    <t>Details 2 Length</t>
  </si>
  <si>
    <t>Details Explanation (Line #2)</t>
  </si>
  <si>
    <t>Messaging Length Errors</t>
  </si>
  <si>
    <t>Ms.</t>
  </si>
  <si>
    <t>Baggage Fee</t>
  </si>
  <si>
    <t>Groceries</t>
  </si>
  <si>
    <t>Enter the 'Submission Date' within 3 months of the travel end date in any format recognizable by Excel.</t>
  </si>
  <si>
    <t>Use a period ("100.00") as a decimal point as opposed to a comma ("100,00").</t>
  </si>
  <si>
    <t>Table_SectionNames</t>
  </si>
  <si>
    <t>Section #</t>
  </si>
  <si>
    <t>Section Name</t>
  </si>
  <si>
    <t>Payee Details</t>
  </si>
  <si>
    <t>Travel Details</t>
  </si>
  <si>
    <t>Claim Details</t>
  </si>
  <si>
    <t>Travel Particulars</t>
  </si>
  <si>
    <t>Contact (if different than 'Payee')</t>
  </si>
  <si>
    <t>Funding Maximum (if applicable)</t>
  </si>
  <si>
    <t>='Error List'!$A$7</t>
  </si>
  <si>
    <t>='Travel Expense Summary'!$F$42</t>
  </si>
  <si>
    <t>='Travel Expense Summary'!$C$43</t>
  </si>
  <si>
    <t>Total_ClaimAllocation</t>
  </si>
  <si>
    <t>=SUM(ClaimAllocation_AmountArray)</t>
  </si>
  <si>
    <t>=SUM(Total_Meals,Total_TransAccomm,Total_Registration)</t>
  </si>
  <si>
    <t>=SUMIF(Other_ExpenseTypeArray,"Meals*",Other_TotalArray)+'Travel Expense Summary'!$Z$23</t>
  </si>
  <si>
    <t>Section Header</t>
  </si>
  <si>
    <t>Include #?</t>
  </si>
  <si>
    <t>Dropdown_SectionNum</t>
  </si>
  <si>
    <t>Number of Misses</t>
  </si>
  <si>
    <t>Hierarchy (Original)</t>
  </si>
  <si>
    <t>Manual Hierarchy</t>
  </si>
  <si>
    <t>07-999</t>
  </si>
  <si>
    <t>11-999</t>
  </si>
  <si>
    <t>Dropdown …. If needed</t>
  </si>
  <si>
    <t>Calculation</t>
  </si>
  <si>
    <t>Table_ClaimStatus</t>
  </si>
  <si>
    <t>COLOUR ON</t>
  </si>
  <si>
    <t>Section 1 is incomplete</t>
  </si>
  <si>
    <t>Section 2 is incomplete</t>
  </si>
  <si>
    <t>Section 3 is incomplete</t>
  </si>
  <si>
    <t>Section 5 is incomplete</t>
  </si>
  <si>
    <t>Section 8 is incomplete</t>
  </si>
  <si>
    <t>Section 10 is incomplete</t>
  </si>
  <si>
    <t>Section 11 is incomplete</t>
  </si>
  <si>
    <t>Section 4 is incomeplete</t>
  </si>
  <si>
    <t>Section 6 is incomplete</t>
  </si>
  <si>
    <t>Section 7 is incomplete</t>
  </si>
  <si>
    <t>Section 9 is incomplete</t>
  </si>
  <si>
    <t>Particulars and receipts are complete</t>
  </si>
  <si>
    <t>Entire form is complete</t>
  </si>
  <si>
    <t>Manual Message</t>
  </si>
  <si>
    <t>Ready for authorization</t>
  </si>
  <si>
    <t>Ready for review</t>
  </si>
  <si>
    <t>This is a free text field with a limit of 30 characters.</t>
  </si>
  <si>
    <t>Enter 'From' (which is the departure location) for the item listed.</t>
  </si>
  <si>
    <t>This is a free text field with a limit of 20 characters.</t>
  </si>
  <si>
    <t>Enter 'To' to match information entered on Other Expenses Line #1.</t>
  </si>
  <si>
    <t>Enter 'To' (which is the destination location) for the item listed.</t>
  </si>
  <si>
    <t>Enter 'From' to match information entered on Other Expenses Line #1.</t>
  </si>
  <si>
    <t>Enter 'From' to match information entered on Other Expenses Line #2.</t>
  </si>
  <si>
    <t>Enter 'From' to match information entered on Other Expenses Line #3.</t>
  </si>
  <si>
    <t>Enter 'From' to match information entered on Other Expenses Line #4.</t>
  </si>
  <si>
    <t>Enter 'From' to match information entered on Other Expenses Line #5.</t>
  </si>
  <si>
    <t>Enter 'From' to match information entered on Other Expenses Line #6.</t>
  </si>
  <si>
    <t>Enter 'From' to match information entered on Other Expenses Line #7.</t>
  </si>
  <si>
    <t>Enter 'From' to match information entered on Other Expenses Line #8.</t>
  </si>
  <si>
    <t>Enter 'From' to match information entered on Other Expenses Line #9.</t>
  </si>
  <si>
    <t>Enter 'From' to match information entered on Other Expenses Line #10.</t>
  </si>
  <si>
    <t>Enter 'From' to match information entered on Other Expenses Line #11.</t>
  </si>
  <si>
    <t>Enter 'To' to match information entered on Other Expenses Line #2.</t>
  </si>
  <si>
    <t>Enter 'To' to match information entered on Other Expenses Line #3.</t>
  </si>
  <si>
    <t>Enter 'To' to match information entered on Other Expenses Line #4.</t>
  </si>
  <si>
    <t>Enter 'To' to match information entered on Other Expenses Line #5.</t>
  </si>
  <si>
    <t>Enter 'To' to match information entered on Other Expenses Line #6.</t>
  </si>
  <si>
    <t>Enter 'To' to match information entered on Other Expenses Line #7.</t>
  </si>
  <si>
    <t>Enter 'To' to match information entered on Other Expenses Line #8.</t>
  </si>
  <si>
    <t>Enter 'To' to match information entered on Other Expenses Line #9.</t>
  </si>
  <si>
    <t>Enter 'To' to match information entered on Other Expenses Line #10.</t>
  </si>
  <si>
    <t>Enter 'To' to match information entered on Other Expenses Line #11.</t>
  </si>
  <si>
    <t>Decrease the 'Claim Allocation Amounts'.</t>
  </si>
  <si>
    <t>Search with this column</t>
  </si>
  <si>
    <t>Enter a valid email address. It must include an '@' symbol, a period ' . ' after the '@' symbol, and at least two characters after the period.</t>
  </si>
  <si>
    <t>If you do not have an email address, enter the email address of your NOSM contact.</t>
  </si>
  <si>
    <t>Enter a first and last name for the contact associated with the email and/or phone number entered.</t>
  </si>
  <si>
    <t>Enter each meal receipt amount for the respective date using the format '0.00'. The eligible amount for each meal will be identified.</t>
  </si>
  <si>
    <t>Community</t>
  </si>
  <si>
    <t>Toronto</t>
  </si>
  <si>
    <t>London</t>
  </si>
  <si>
    <t>Kingston</t>
  </si>
  <si>
    <t>Ottawa</t>
  </si>
  <si>
    <t>Hamilton</t>
  </si>
  <si>
    <t xml:space="preserve">Blind River </t>
  </si>
  <si>
    <t xml:space="preserve">Callander </t>
  </si>
  <si>
    <t xml:space="preserve">Cochrane </t>
  </si>
  <si>
    <t xml:space="preserve">Elliot Lake </t>
  </si>
  <si>
    <t xml:space="preserve">Englehart </t>
  </si>
  <si>
    <t xml:space="preserve">Espanola </t>
  </si>
  <si>
    <t xml:space="preserve">Gore Bay </t>
  </si>
  <si>
    <t xml:space="preserve">Hearst </t>
  </si>
  <si>
    <t xml:space="preserve">Hornepayne </t>
  </si>
  <si>
    <t xml:space="preserve">Huntsville </t>
  </si>
  <si>
    <t xml:space="preserve">Iroquois Falls </t>
  </si>
  <si>
    <t xml:space="preserve">Kapuskasing </t>
  </si>
  <si>
    <t xml:space="preserve">Kirkland Lake </t>
  </si>
  <si>
    <t xml:space="preserve">Little Current </t>
  </si>
  <si>
    <t xml:space="preserve">Mattawa </t>
  </si>
  <si>
    <t xml:space="preserve">Mindemoya </t>
  </si>
  <si>
    <t xml:space="preserve">North Bay </t>
  </si>
  <si>
    <t xml:space="preserve">Powassan </t>
  </si>
  <si>
    <t xml:space="preserve">Richards Landing </t>
  </si>
  <si>
    <t xml:space="preserve">Sault Ste. Marie </t>
  </si>
  <si>
    <t xml:space="preserve">Sturgeon Falls </t>
  </si>
  <si>
    <t xml:space="preserve">Sudbury </t>
  </si>
  <si>
    <t xml:space="preserve">Temagami </t>
  </si>
  <si>
    <t xml:space="preserve">Timmins </t>
  </si>
  <si>
    <t xml:space="preserve">Atikokan </t>
  </si>
  <si>
    <t xml:space="preserve">Batchewana F.N. </t>
  </si>
  <si>
    <t xml:space="preserve">Bracebridge </t>
  </si>
  <si>
    <t xml:space="preserve">Constance Lake F.N. </t>
  </si>
  <si>
    <t xml:space="preserve">Dryden </t>
  </si>
  <si>
    <t xml:space="preserve">Emo </t>
  </si>
  <si>
    <t xml:space="preserve">Fort Frances </t>
  </si>
  <si>
    <t xml:space="preserve">Fort William F.N. </t>
  </si>
  <si>
    <t xml:space="preserve">Garden River F.N. </t>
  </si>
  <si>
    <t>Geraldton</t>
  </si>
  <si>
    <t xml:space="preserve">Kenora </t>
  </si>
  <si>
    <t xml:space="preserve">Lac Seul F.N. </t>
  </si>
  <si>
    <t xml:space="preserve">Manitowaning </t>
  </si>
  <si>
    <t xml:space="preserve">Marathon </t>
  </si>
  <si>
    <t xml:space="preserve">Matheson </t>
  </si>
  <si>
    <t xml:space="preserve">Mattagami Lake F.N. </t>
  </si>
  <si>
    <t>Midland</t>
  </si>
  <si>
    <t>New Liskeard</t>
  </si>
  <si>
    <t xml:space="preserve">Nipigon </t>
  </si>
  <si>
    <t xml:space="preserve">Nipissing F.N. </t>
  </si>
  <si>
    <t>Ojibways of the Pic River F.N.</t>
  </si>
  <si>
    <t>Parry Sound</t>
  </si>
  <si>
    <t xml:space="preserve">Rainy River </t>
  </si>
  <si>
    <t xml:space="preserve">Red Lake </t>
  </si>
  <si>
    <t xml:space="preserve">Sagamok Anishinabek </t>
  </si>
  <si>
    <t xml:space="preserve">Serpent River F.N. </t>
  </si>
  <si>
    <t>Sioux Lookout</t>
  </si>
  <si>
    <t xml:space="preserve">Smooth Rock Falls </t>
  </si>
  <si>
    <t xml:space="preserve">Temagami F.N. </t>
  </si>
  <si>
    <t xml:space="preserve">Terrace Bay </t>
  </si>
  <si>
    <t xml:space="preserve">Thessalon </t>
  </si>
  <si>
    <t xml:space="preserve">Wawa </t>
  </si>
  <si>
    <t xml:space="preserve">Whitefish Lake F.N. </t>
  </si>
  <si>
    <t xml:space="preserve">Whitefish River F.N. </t>
  </si>
  <si>
    <t xml:space="preserve">Burk's Falls </t>
  </si>
  <si>
    <t xml:space="preserve">M'Chigeeng F.N. </t>
  </si>
  <si>
    <t>'Travel Expense Summary' is ready for authorization.</t>
  </si>
  <si>
    <t>Save as a 'PDF' or print and forward to the appropriate approver before directing to NOSM Accounts Payable.</t>
  </si>
  <si>
    <t>Enter 'Receipt Amount' for the item listed in the format '0.00'.</t>
  </si>
  <si>
    <t xml:space="preserve">Enter 'KMs Travelled' for the item listed. You can claim the roundtrip KMs on a single line or claim each leg of your trip on separate lines. </t>
  </si>
  <si>
    <t>Consult the 'Kilometer Matrix' for pre-established distances between most communities. KMs should be rounded to the nearest full KM.</t>
  </si>
  <si>
    <t xml:space="preserve">Google Maps Link: </t>
  </si>
  <si>
    <t>Dropdown_SEctionNum</t>
  </si>
  <si>
    <t>=Table_SectionNames[Section '#]</t>
  </si>
  <si>
    <t>Lookup_StatusCalc</t>
  </si>
  <si>
    <t>=Table_ClaimStatus[Calculation]</t>
  </si>
  <si>
    <t>Lookup_StatusColour</t>
  </si>
  <si>
    <t>=Table_ClaimStatus[COLOUR ON]</t>
  </si>
  <si>
    <t>Not in Canada</t>
  </si>
  <si>
    <t>Outside of Canada</t>
  </si>
  <si>
    <t>If your address is in Canada, select the 'Province' abbreviation from the in-cell dropdown list.</t>
  </si>
  <si>
    <t>If your address is outside of Canada, select 'Not in Canada' and include your country and postal code in the 'Additional Details' field.</t>
  </si>
  <si>
    <t xml:space="preserve">Enter a 10 digit phone number. This is a 3 digit area code and a 7 digit phone number. </t>
  </si>
  <si>
    <t>Enter the number only without any spaces or special characters (ie. 1234567890). The field will format automatically to '(123) 456-7890'.</t>
  </si>
  <si>
    <t xml:space="preserve">Enter a 10 digit phone number associated with the 'Contact' identified. This is a 3 digit area code and a 7 digit phone number. </t>
  </si>
  <si>
    <t>This is the departure location for your travel.</t>
  </si>
  <si>
    <t>This is the destination for your travel.</t>
  </si>
  <si>
    <t>Select 'Range' from the in-cell dropdown list.</t>
  </si>
  <si>
    <t>Range is blank</t>
  </si>
  <si>
    <t>This field is required to determine HST rebate rates and eligibility.</t>
  </si>
  <si>
    <t>This field differentiates between 'One-way' or 'Round-trip' travel.</t>
  </si>
  <si>
    <t>Select a 'Travel End Date' from the in-cell dropdown list.</t>
  </si>
  <si>
    <t xml:space="preserve">Travel End Date must be within 60 days of 'Travel Start Date'. Ensure you are submitting separate travel claims for each travel occurrence. </t>
  </si>
  <si>
    <t>The 'Claim Type' field differentiates between a travel advance and a final claim.</t>
  </si>
  <si>
    <t xml:space="preserve">This is a free text field with a 200 character limit. </t>
  </si>
  <si>
    <t>X</t>
  </si>
  <si>
    <t>Temiskaming Shores</t>
  </si>
  <si>
    <t>MILEAGE LOOK-UP</t>
  </si>
  <si>
    <t>Table_KMCommunity</t>
  </si>
  <si>
    <t>Dropdown_KMCommunity</t>
  </si>
  <si>
    <t>Table_KMCentre</t>
  </si>
  <si>
    <t>Dropdown_KMCentre</t>
  </si>
  <si>
    <t>Major Centre / Campus</t>
  </si>
  <si>
    <t>If your particular mileage is not listed below, include a Google Maps travel summary to support your claimed mileage.</t>
  </si>
  <si>
    <t>Mileage amounts in the table below are one-way and are rounded to the nearest 5 km. They use the shortest (not necessarily the fastest) entirely Canadian route of travel.</t>
  </si>
  <si>
    <t>Appendix F - Kilometer Matrix (One-way)</t>
  </si>
  <si>
    <t xml:space="preserve">This is a free text field with a 15 character limit. </t>
  </si>
  <si>
    <t>No longer used!!!</t>
  </si>
  <si>
    <t>This is a free text field</t>
  </si>
  <si>
    <t>ClaimDetails Available</t>
  </si>
  <si>
    <t xml:space="preserve">This is a free text field with an 80 character limit. </t>
  </si>
  <si>
    <t>Meals &amp; Groceries</t>
  </si>
  <si>
    <t>=Table_KMCentre[Community]</t>
  </si>
  <si>
    <t>=Table_KMCommunity[Community]</t>
  </si>
  <si>
    <t>HideClaimDetails</t>
  </si>
  <si>
    <t>=VLOOKUP(Field09_PayeeType,Table_PayeeType,MATCH(Table_PayeeType[[#Headers],[ClaimDetails Available]],Table_PayeeType[#Headers],0),FALSE)=FALSE</t>
  </si>
  <si>
    <t>Submission Date is incomplete</t>
  </si>
  <si>
    <t>07-098</t>
  </si>
  <si>
    <t>Row</t>
  </si>
  <si>
    <t>HideReceipt</t>
  </si>
  <si>
    <t>HideKM</t>
  </si>
  <si>
    <t>Table for Hiding the Receipt and KM columns with conditional formatting.</t>
  </si>
  <si>
    <t>ReceiptReference</t>
  </si>
  <si>
    <t>KM Fields to Hide</t>
  </si>
  <si>
    <t>KMReferences</t>
  </si>
  <si>
    <t>Receipts Fields to Hide</t>
  </si>
  <si>
    <t>Faculty Affairs &amp; CEPD</t>
  </si>
  <si>
    <t xml:space="preserve">Error for cut and paste reference breaks. </t>
  </si>
  <si>
    <t>Reference Error found ("#REF!") in one or more cells.</t>
  </si>
  <si>
    <t>This error is caused by using "Cut &amp; Paste" or "Copy &amp; Paste" as opposed to "Copy &amp; Paste Values".</t>
  </si>
  <si>
    <t>Undo' your work until the error is resolved.</t>
  </si>
  <si>
    <t>Hide_KMFields</t>
  </si>
  <si>
    <t>='Expense Type Validation'!$F$52</t>
  </si>
  <si>
    <t>HideReceiptFields</t>
  </si>
  <si>
    <t>='Expense Type Validation'!$E$52</t>
  </si>
  <si>
    <t>='Travel Expense Summary'!$I$27:$I$37</t>
  </si>
  <si>
    <t>='Travel Expense Summary'!$M$27:$M$37</t>
  </si>
  <si>
    <t>='Travel Expense Summary'!$K$27:$L$37</t>
  </si>
  <si>
    <t>='Travel Expense Summary'!$R$27:$R$37</t>
  </si>
  <si>
    <t>='Travel Expense Summary'!$Y$27:$Y$37</t>
  </si>
  <si>
    <t>='Travel Expense Summary'!$X$27:$X$37</t>
  </si>
  <si>
    <t>='Travel Expense Summary'!$T$27:$T$37</t>
  </si>
  <si>
    <t>Claim validated. This error must always be last. =COUNTIF($A$7:$A146,TRUE)=0</t>
  </si>
  <si>
    <t xml:space="preserve">Travel Particulars and Receipts entered correctly. </t>
  </si>
  <si>
    <t>Sheet Errors</t>
  </si>
  <si>
    <t>Sheet Errors Exist</t>
  </si>
  <si>
    <t>Sheet errors exist</t>
  </si>
  <si>
    <t>Milestone #1</t>
  </si>
  <si>
    <t>Milestone #2</t>
  </si>
  <si>
    <t>Submission Date</t>
  </si>
  <si>
    <t>Brings attention to #REF! error most likely caused by cutting or copying and pasting. =SUMPRODUCT(--ISERR(WholeForm))&gt;0. Could not get to work due to issues with circular references. This error would need to exist outside of this table to function correctly (ie. parse through any 'sheet errors' before moving to this table).</t>
  </si>
  <si>
    <t>$C$31,$C$32</t>
  </si>
  <si>
    <t>End Date is before start date</t>
  </si>
  <si>
    <t>Correct 'Travel Start Date' and/or 'Travel End Date'.</t>
  </si>
  <si>
    <t>The 'Travel Start Date' is after the 'Travel End Date'.</t>
  </si>
  <si>
    <t>Correct the dates to ensure that the 'Travel End Date' is after the 'Travel Start Date'.</t>
  </si>
  <si>
    <t>End Date is &gt; 60 days after start date</t>
  </si>
  <si>
    <t xml:space="preserve">Ensure that 'Travel End Date' is no greater than 60 days from the 'Travel Start Date'. </t>
  </si>
  <si>
    <t>If you are attempting to claim a trip longer than 60 days, please submit two separate one-way claims.</t>
  </si>
  <si>
    <t>07-097</t>
  </si>
  <si>
    <t>Invalid 'Submission Date'.</t>
  </si>
  <si>
    <t xml:space="preserve">The 'Submission Date' must be within 3 months of the 'Travel End Date' for your travel claim to be eligible for reimbursement. </t>
  </si>
  <si>
    <t>$U$43,$C$32</t>
  </si>
  <si>
    <t>Meal 1 Date Error Blank</t>
  </si>
  <si>
    <t>Meal 1 Date Error (Not within Travel Dates)</t>
  </si>
  <si>
    <t>Enter 'Contact Name'.</t>
  </si>
  <si>
    <t>Enter 'Contact Email'.</t>
  </si>
  <si>
    <t>Select 'Purpose'.</t>
  </si>
  <si>
    <t>Enter 'Travel Advance Amount'.</t>
  </si>
  <si>
    <t>Select 'Claim Type'.</t>
  </si>
  <si>
    <t>Select or enter 'Travel End Date'.</t>
  </si>
  <si>
    <t>Enter 'Travel Start Date'.</t>
  </si>
  <si>
    <t>Select 'Trip Type'.</t>
  </si>
  <si>
    <t>Select 'Range'.</t>
  </si>
  <si>
    <t>Enter 'Going To'.</t>
  </si>
  <si>
    <t>Enter 'Leaving From'.</t>
  </si>
  <si>
    <t>Select 'Payment Option'.</t>
  </si>
  <si>
    <t>Select 'Payee Type'.</t>
  </si>
  <si>
    <t>Enter 'Phone Number'.</t>
  </si>
  <si>
    <t>Enter 'D.O.B.' (date of birth).</t>
  </si>
  <si>
    <t>Enter 'Email'.</t>
  </si>
  <si>
    <t>Select 'Address Type'.</t>
  </si>
  <si>
    <t>Enter 'Postal Code'.</t>
  </si>
  <si>
    <t>Select 'Province'.</t>
  </si>
  <si>
    <t>Enter 'City'.</t>
  </si>
  <si>
    <t>Enter 'Address'.</t>
  </si>
  <si>
    <t>Enter 'Last Name'.</t>
  </si>
  <si>
    <t>Enter 'First Name'.</t>
  </si>
  <si>
    <t>Enter 'Prefix'.</t>
  </si>
  <si>
    <t>If details of your address do not fit in this field, include them in the 'Additional Details' field.</t>
  </si>
  <si>
    <t>Select a 'Meal Date' from the in-cell dropdown list.</t>
  </si>
  <si>
    <t>The 'Meal Date' must be between 'Travel Start Date' and 'Travel End Date'.</t>
  </si>
  <si>
    <t>Adjust 'Meal Date' to be within 'Travel Start Date' and 'Travel End Date'.</t>
  </si>
  <si>
    <t>Meal 2 Date Error (Not within Travel Dates)</t>
  </si>
  <si>
    <t>Meal 3 Date Error (Not within Travel Dates)</t>
  </si>
  <si>
    <t>Meal 4 Date Error (Not within Travel Dates)</t>
  </si>
  <si>
    <t>Meal 5 Date Error (Not within Travel Dates)</t>
  </si>
  <si>
    <t>Meal 6 Date Error (Not within Travel Dates)</t>
  </si>
  <si>
    <t>Meal 8 Date Error (Not within Travel Dates)</t>
  </si>
  <si>
    <t>Meal 7 Date Error (Not within Travel Dates)</t>
  </si>
  <si>
    <t>Meal 9 Date Error (Not within Travel Dates)</t>
  </si>
  <si>
    <t>Meal 10 Date Error (Not within Travel Dates)</t>
  </si>
  <si>
    <t>Select a 'Meal Date' from the in-cell dropdown list.
The 'Meal Date' must be between 'Travel Start Date' and 'Travel End Date'.</t>
  </si>
  <si>
    <t>Version #2 - 2016/07/15</t>
  </si>
  <si>
    <t>&lt;--- Formula is set so that the 'TEXT SUMMARY' will display at either of the "Milestones" (Ready for Review or Ready for Authorization)</t>
  </si>
  <si>
    <t>Others 01 Date Error (Receipt date not within travel dates)</t>
  </si>
  <si>
    <t>Others 02 Date Error (Receipt date not within travel dates)</t>
  </si>
  <si>
    <t>Others 03 Date Error (Receipt date not within travel dates)</t>
  </si>
  <si>
    <t>Others 04 Date Error (Receipt date not within travel dates)</t>
  </si>
  <si>
    <t>Others 05 Date Error (Receipt date not within travel dates)</t>
  </si>
  <si>
    <t>Others 06 Date Error (Receipt date not within travel dates)</t>
  </si>
  <si>
    <t>Others 07 Date Error (Receipt date not within travel dates)</t>
  </si>
  <si>
    <t>Others 08 Date Error (Receipt date not within travel dates)</t>
  </si>
  <si>
    <t>Others 09 Date Error (Receipt date not within travel dates)</t>
  </si>
  <si>
    <t>Others 10 Date Error (Receipt date not within travel dates)</t>
  </si>
  <si>
    <t>Others 11 Date Error (Receipt date not within travel dates)</t>
  </si>
  <si>
    <t>Adjust 'Date' to be within 'Travel Start Date' and 'Travel End Date'.</t>
  </si>
  <si>
    <t>Select a 'Date' from the in-cell dropdown list.</t>
  </si>
  <si>
    <t>The 'Date' must be between 'Travel Start Date' and 'Travel End Date'.</t>
  </si>
  <si>
    <t xml:space="preserve">Payee Type is not listed item. </t>
  </si>
  <si>
    <t xml:space="preserve">Adjust 'Payee Type' to valid value. </t>
  </si>
  <si>
    <t xml:space="preserve">The current value is not an item from this list. </t>
  </si>
  <si>
    <t>Others 01 Expense Error (Value not in dropdown list)</t>
  </si>
  <si>
    <t>Others 02 Expense Error (Value not in dropdown list)</t>
  </si>
  <si>
    <t>Others 03 Expense Error (Value not in dropdown list)</t>
  </si>
  <si>
    <t>Others 04 Expense Error (Value not in dropdown list)</t>
  </si>
  <si>
    <t>Others 05 Expense Error (Value not in dropdown list)</t>
  </si>
  <si>
    <t>Others 06 Expense Error (Value not in dropdown list)</t>
  </si>
  <si>
    <t>Others 07 Expense Error (Value not in dropdown list)</t>
  </si>
  <si>
    <t>Adjust 'Expense Type' to valid value.</t>
  </si>
  <si>
    <t>Select an 'Expense Type' from the in-cell dropdown list.</t>
  </si>
  <si>
    <t>Others 11 Expense Error (Value not in dropdown list)</t>
  </si>
  <si>
    <t>Others 10 Expense Error (Value not in dropdown list)</t>
  </si>
  <si>
    <t>Others 09 Expense Error (Value not in dropdown list)</t>
  </si>
  <si>
    <t>Others 08 Expense Error (Value not in dropdown list)</t>
  </si>
  <si>
    <t>Table_Postal</t>
  </si>
  <si>
    <t>Check #</t>
  </si>
  <si>
    <t>Check Name</t>
  </si>
  <si>
    <t>Result</t>
  </si>
  <si>
    <t xml:space="preserve">Field Length = 7 </t>
  </si>
  <si>
    <t>Postal required</t>
  </si>
  <si>
    <t>Char is text</t>
  </si>
  <si>
    <t>Char is value</t>
  </si>
  <si>
    <t>Char is space</t>
  </si>
  <si>
    <t>Result (if needed)</t>
  </si>
  <si>
    <t>Postal Code Validated</t>
  </si>
  <si>
    <t>Postal Code is incorrect format</t>
  </si>
  <si>
    <t>Adjust 'Postal Code' to a valid format.</t>
  </si>
  <si>
    <t>Enter a valid 7 character Canadian postal code in the format "&amp;#&amp; #&amp;#" where '&amp;' are letters and '#' are numbers.</t>
  </si>
  <si>
    <t>Ensure that the space is also included.</t>
  </si>
  <si>
    <t>='Particulars Validation'!$Z$4</t>
  </si>
  <si>
    <t>=Table_ErrorList[Error Evaluation]</t>
  </si>
  <si>
    <t>Form_Formulas</t>
  </si>
  <si>
    <t>='Travel Expense Summary'!$C$1:$AA$4,'Travel Expense Summary'!$D$8,'Travel Expense Summary'!$B$11,'Travel Expense Summary'!$H$11,'Travel Expense Summary'!$O$11,'Travel Expense Summary'!$V$13:$Y$22,'Travel Expense Summary'!$B$19 'Travel Expense Summary'!</t>
  </si>
  <si>
    <t>='Particulars Validation'!$AR$7</t>
  </si>
  <si>
    <t>='Particulars Validation'!$AS$7</t>
  </si>
  <si>
    <t>='Particulars Validation'!$AT$7</t>
  </si>
  <si>
    <t>Lookup_KMCommunity</t>
  </si>
  <si>
    <t>=MATCH('Kilometer Matrix (Appendix F)'!$B$3,Table_KMMatrix[Community],0)-1</t>
  </si>
  <si>
    <t>Lookup_KMIntersect</t>
  </si>
  <si>
    <t xml:space="preserve">=CELL("address",'Kilometer Matrix (Appendix F)'!XEW75) "address" OFFSET(INDEX(Table_KMMatrix,1,1),MATCH('Kilometer Matrix (Appendix F)'!$B$3,Table_KMMatrix[Community],0)-1,MATCH('Kilometer Matrix (Appendix F)'!$D$3,Table_KMMatrix[#Headers],0)-1,1,1) </t>
  </si>
  <si>
    <t>Lookup_KMMajor</t>
  </si>
  <si>
    <t>=MATCH('Kilometer Matrix (Appendix F)'!$D$3,Table_KMMatrix[#Headers],0)-1</t>
  </si>
  <si>
    <t>Lookup_KMRefStart</t>
  </si>
  <si>
    <t>=INDEX(Table_KMMatrix,1,1)</t>
  </si>
  <si>
    <t>='Particulars Validation'!$AY$4</t>
  </si>
  <si>
    <t>PostalValidated</t>
  </si>
  <si>
    <t>='Particulars Validation'!$W$16</t>
  </si>
  <si>
    <t>Other Expenses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</si>
</sst>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yyyy/mm/dd"/>
    <numFmt numFmtId="165" formatCode="0000"/>
    <numFmt numFmtId="166" formatCode="00\-000000\-00000\-00"/>
    <numFmt numFmtId="167" formatCode="#,##0.00_);\ \(#,##0.00\);\-_)"/>
    <numFmt numFmtId="168" formatCode="\(###\)\ ###\-####"/>
    <numFmt numFmtId="169" formatCode="000\ 000"/>
    <numFmt numFmtId="170" formatCode="00"/>
    <numFmt numFmtId="171" formatCode="#,##0_);\ \(#,##0\);\-_)"/>
    <numFmt numFmtId="172" formatCode="#,##0\ &quot;km&quot;"/>
  </numFmts>
  <fonts count="41" x14ac:knownFonts="1">
    <font>
      <sz val="11"/>
      <color theme="1"/>
      <name val="Calibri"/>
      <family val="2"/>
      <scheme val="minor"/>
    </font>
    <font>
      <sz val="11"/>
      <color theme="1"/>
      <name val="Calibri"/>
      <family val="2"/>
      <scheme val="minor"/>
    </font>
    <font>
      <b/>
      <sz val="16"/>
      <color theme="0"/>
      <name val="Calibri"/>
      <family val="2"/>
      <scheme val="minor"/>
    </font>
    <font>
      <sz val="8"/>
      <color theme="1"/>
      <name val="Calibri"/>
      <family val="2"/>
      <scheme val="minor"/>
    </font>
    <font>
      <b/>
      <sz val="11"/>
      <color theme="0"/>
      <name val="Calibri"/>
      <family val="2"/>
      <scheme val="minor"/>
    </font>
    <font>
      <b/>
      <sz val="16"/>
      <color theme="0"/>
      <name val="Arial"/>
      <family val="2"/>
    </font>
    <font>
      <sz val="11"/>
      <color theme="1"/>
      <name val="Arial"/>
      <family val="2"/>
    </font>
    <font>
      <sz val="6"/>
      <color theme="1"/>
      <name val="Arial"/>
      <family val="2"/>
    </font>
    <font>
      <b/>
      <sz val="10"/>
      <color theme="1"/>
      <name val="Arial"/>
      <family val="2"/>
    </font>
    <font>
      <b/>
      <sz val="12"/>
      <color theme="0"/>
      <name val="Arial"/>
      <family val="2"/>
    </font>
    <font>
      <b/>
      <sz val="12"/>
      <name val="Arial"/>
      <family val="2"/>
    </font>
    <font>
      <sz val="12"/>
      <color theme="1"/>
      <name val="Arial"/>
      <family val="2"/>
    </font>
    <font>
      <b/>
      <sz val="12"/>
      <color theme="1"/>
      <name val="Arial"/>
      <family val="2"/>
    </font>
    <font>
      <sz val="12"/>
      <color theme="1"/>
      <name val="Calibri"/>
      <family val="2"/>
      <scheme val="minor"/>
    </font>
    <font>
      <b/>
      <sz val="11"/>
      <color theme="1"/>
      <name val="Calibri"/>
      <family val="2"/>
      <scheme val="minor"/>
    </font>
    <font>
      <sz val="12"/>
      <name val="Arial"/>
      <family val="2"/>
    </font>
    <font>
      <b/>
      <sz val="11"/>
      <color theme="1"/>
      <name val="Arial"/>
      <family val="2"/>
    </font>
    <font>
      <sz val="24"/>
      <color theme="1"/>
      <name val="Calibri"/>
      <family val="2"/>
      <scheme val="minor"/>
    </font>
    <font>
      <b/>
      <sz val="20"/>
      <color theme="1"/>
      <name val="Arial"/>
      <family val="2"/>
    </font>
    <font>
      <sz val="16"/>
      <color theme="1"/>
      <name val="Arial"/>
      <family val="2"/>
    </font>
    <font>
      <i/>
      <sz val="12"/>
      <color theme="1"/>
      <name val="Arial"/>
      <family val="2"/>
    </font>
    <font>
      <b/>
      <sz val="12"/>
      <color theme="0"/>
      <name val="Calibri"/>
      <family val="2"/>
      <scheme val="minor"/>
    </font>
    <font>
      <b/>
      <sz val="36"/>
      <color theme="0"/>
      <name val="Arial"/>
      <family val="2"/>
    </font>
    <font>
      <sz val="8"/>
      <color theme="1"/>
      <name val="Calibri"/>
      <family val="2"/>
      <scheme val="minor"/>
    </font>
    <font>
      <sz val="14"/>
      <color theme="1"/>
      <name val="Arial"/>
      <family val="2"/>
    </font>
    <font>
      <b/>
      <sz val="8"/>
      <name val="Arial"/>
      <family val="2"/>
    </font>
    <font>
      <sz val="7.5"/>
      <color theme="1"/>
      <name val="Arial"/>
      <family val="2"/>
    </font>
    <font>
      <b/>
      <u/>
      <sz val="7.5"/>
      <color theme="1"/>
      <name val="Arial"/>
      <family val="2"/>
    </font>
    <font>
      <u/>
      <sz val="11"/>
      <color theme="10"/>
      <name val="Calibri"/>
      <family val="2"/>
      <scheme val="minor"/>
    </font>
    <font>
      <sz val="8"/>
      <color theme="1"/>
      <name val="Calibri"/>
      <family val="2"/>
      <scheme val="minor"/>
    </font>
    <font>
      <b/>
      <sz val="7.5"/>
      <color theme="1"/>
      <name val="Arial"/>
      <family val="2"/>
    </font>
    <font>
      <sz val="7.5"/>
      <color theme="1"/>
      <name val="Calibri"/>
      <family val="2"/>
      <scheme val="minor"/>
    </font>
    <font>
      <u/>
      <sz val="12"/>
      <color theme="1"/>
      <name val="Arial"/>
      <family val="2"/>
    </font>
    <font>
      <b/>
      <sz val="14"/>
      <color theme="1"/>
      <name val="Arial"/>
      <family val="2"/>
    </font>
    <font>
      <b/>
      <sz val="14"/>
      <name val="Arial"/>
      <family val="2"/>
    </font>
    <font>
      <b/>
      <sz val="22"/>
      <color theme="0"/>
      <name val="Arial"/>
      <family val="2"/>
    </font>
    <font>
      <b/>
      <sz val="16"/>
      <color rgb="FF061A49"/>
      <name val="Arial"/>
      <family val="2"/>
    </font>
    <font>
      <u/>
      <sz val="14"/>
      <color theme="10"/>
      <name val="Arial"/>
      <family val="2"/>
    </font>
    <font>
      <b/>
      <sz val="22"/>
      <color theme="1"/>
      <name val="Arial"/>
      <family val="2"/>
    </font>
    <font>
      <b/>
      <sz val="28"/>
      <color rgb="FF061A49"/>
      <name val="Arial"/>
      <family val="2"/>
    </font>
    <font>
      <sz val="7"/>
      <color theme="1"/>
      <name val="Arial"/>
      <family val="2"/>
    </font>
  </fonts>
  <fills count="27">
    <fill>
      <patternFill patternType="none"/>
    </fill>
    <fill>
      <patternFill patternType="gray125"/>
    </fill>
    <fill>
      <patternFill patternType="solid">
        <fgColor theme="1" tint="0.249977111117893"/>
        <bgColor indexed="64"/>
      </patternFill>
    </fill>
    <fill>
      <patternFill patternType="solid">
        <fgColor rgb="FF00B0F0"/>
        <bgColor indexed="64"/>
      </patternFill>
    </fill>
    <fill>
      <patternFill patternType="solid">
        <fgColor theme="1"/>
        <bgColor theme="1"/>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061A49"/>
        <bgColor indexed="64"/>
      </patternFill>
    </fill>
    <fill>
      <patternFill patternType="solid">
        <fgColor rgb="FFFFB300"/>
        <bgColor indexed="64"/>
      </patternFill>
    </fill>
    <fill>
      <patternFill patternType="solid">
        <fgColor rgb="FF00B050"/>
        <bgColor indexed="64"/>
      </patternFill>
    </fill>
    <fill>
      <patternFill patternType="solid">
        <fgColor theme="1"/>
        <bgColor indexed="64"/>
      </patternFill>
    </fill>
    <fill>
      <patternFill patternType="solid">
        <fgColor rgb="FFFF4B4B"/>
        <bgColor indexed="64"/>
      </patternFill>
    </fill>
    <fill>
      <patternFill patternType="solid">
        <fgColor rgb="FFFFFF00"/>
        <bgColor indexed="64"/>
      </patternFill>
    </fill>
    <fill>
      <patternFill patternType="solid">
        <fgColor theme="8" tint="0.39997558519241921"/>
        <bgColor indexed="64"/>
      </patternFill>
    </fill>
    <fill>
      <patternFill patternType="solid">
        <fgColor rgb="FFC00000"/>
        <bgColor indexed="64"/>
      </patternFill>
    </fill>
    <fill>
      <patternFill patternType="solid">
        <fgColor rgb="FFFF0000"/>
        <bgColor indexed="64"/>
      </patternFill>
    </fill>
    <fill>
      <patternFill patternType="solid">
        <fgColor theme="3"/>
        <bgColor indexed="64"/>
      </patternFill>
    </fill>
    <fill>
      <patternFill patternType="solid">
        <fgColor theme="0"/>
        <bgColor auto="1"/>
      </patternFill>
    </fill>
    <fill>
      <patternFill patternType="solid">
        <fgColor theme="0" tint="-0.14996795556505021"/>
        <bgColor indexed="64"/>
      </patternFill>
    </fill>
    <fill>
      <patternFill patternType="solid">
        <fgColor theme="8" tint="0.79998168889431442"/>
        <bgColor indexed="64"/>
      </patternFill>
    </fill>
    <fill>
      <patternFill patternType="solid">
        <fgColor theme="6"/>
        <bgColor indexed="64"/>
      </patternFill>
    </fill>
    <fill>
      <patternFill patternType="solid">
        <fgColor rgb="FF061A49"/>
        <bgColor theme="1"/>
      </patternFill>
    </fill>
    <fill>
      <patternFill patternType="solid">
        <fgColor theme="0" tint="-0.34998626667073579"/>
        <bgColor indexed="64"/>
      </patternFill>
    </fill>
    <fill>
      <patternFill patternType="solid">
        <fgColor theme="8" tint="-0.249977111117893"/>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mediumDashed">
        <color rgb="FF061A49"/>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44" fontId="1" fillId="0" borderId="0" applyFont="0" applyFill="0" applyBorder="0" applyAlignment="0" applyProtection="0"/>
  </cellStyleXfs>
  <cellXfs count="366">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xf numFmtId="164" fontId="0" fillId="0" borderId="0" xfId="0" applyNumberFormat="1" applyAlignment="1">
      <alignment horizontal="center" vertical="top"/>
    </xf>
    <xf numFmtId="0" fontId="0" fillId="0" borderId="0" xfId="0" applyAlignment="1">
      <alignment horizontal="center" vertical="top"/>
    </xf>
    <xf numFmtId="0" fontId="0" fillId="0" borderId="0" xfId="0" applyAlignment="1">
      <alignment wrapText="1"/>
    </xf>
    <xf numFmtId="0" fontId="0" fillId="0" borderId="0" xfId="0" applyAlignment="1">
      <alignment horizontal="center" vertical="top" wrapText="1"/>
    </xf>
    <xf numFmtId="0" fontId="0" fillId="0" borderId="1" xfId="0" applyBorder="1" applyAlignment="1">
      <alignment horizontal="center" vertical="center" wrapText="1"/>
    </xf>
    <xf numFmtId="0" fontId="3" fillId="0" borderId="1" xfId="0" applyFont="1" applyBorder="1" applyAlignment="1">
      <alignment horizontal="center" vertical="center"/>
    </xf>
    <xf numFmtId="0" fontId="0" fillId="0" borderId="0" xfId="0" quotePrefix="1"/>
    <xf numFmtId="0" fontId="0" fillId="0" borderId="0" xfId="0" applyBorder="1" applyAlignment="1">
      <alignment horizontal="center" vertical="center" wrapText="1"/>
    </xf>
    <xf numFmtId="0" fontId="3" fillId="0" borderId="3" xfId="0" applyFont="1" applyBorder="1" applyAlignment="1">
      <alignment horizontal="center" vertical="center"/>
    </xf>
    <xf numFmtId="0" fontId="2" fillId="2" borderId="2" xfId="0" applyFont="1" applyFill="1" applyBorder="1" applyAlignment="1"/>
    <xf numFmtId="0" fontId="2" fillId="2" borderId="0" xfId="0" applyFont="1" applyFill="1" applyBorder="1" applyAlignment="1"/>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0" fillId="0" borderId="0" xfId="0" applyNumberFormat="1" applyAlignment="1">
      <alignment horizontal="center" vertical="top" wrapText="1"/>
    </xf>
    <xf numFmtId="0" fontId="0" fillId="0" borderId="1" xfId="0" applyBorder="1" applyAlignment="1">
      <alignment horizontal="center"/>
    </xf>
    <xf numFmtId="0" fontId="0" fillId="0" borderId="0" xfId="0" applyNumberFormat="1" applyAlignment="1">
      <alignment horizontal="center" vertical="top"/>
    </xf>
    <xf numFmtId="0" fontId="2" fillId="2" borderId="1" xfId="0" applyFont="1" applyFill="1" applyBorder="1" applyAlignment="1">
      <alignment horizontal="center"/>
    </xf>
    <xf numFmtId="0" fontId="0" fillId="11" borderId="0" xfId="0" applyFill="1"/>
    <xf numFmtId="0" fontId="0" fillId="12" borderId="0" xfId="0" applyFill="1"/>
    <xf numFmtId="0" fontId="2" fillId="2" borderId="0" xfId="0" applyFont="1" applyFill="1" applyBorder="1" applyAlignment="1">
      <alignment horizontal="center"/>
    </xf>
    <xf numFmtId="0" fontId="17" fillId="0" borderId="0" xfId="0" applyFont="1"/>
    <xf numFmtId="0" fontId="14" fillId="15" borderId="1" xfId="0" applyFont="1" applyFill="1" applyBorder="1" applyAlignment="1">
      <alignment horizontal="center" vertical="center" wrapText="1"/>
    </xf>
    <xf numFmtId="0" fontId="14" fillId="0" borderId="0" xfId="0" applyFont="1"/>
    <xf numFmtId="0" fontId="0" fillId="13" borderId="1" xfId="0" applyFill="1" applyBorder="1"/>
    <xf numFmtId="0" fontId="14" fillId="3" borderId="1" xfId="0" applyFont="1" applyFill="1" applyBorder="1" applyAlignment="1">
      <alignment horizontal="center" vertical="top"/>
    </xf>
    <xf numFmtId="10" fontId="0" fillId="0" borderId="1" xfId="2" applyNumberFormat="1" applyFont="1" applyBorder="1"/>
    <xf numFmtId="0" fontId="0" fillId="0" borderId="0" xfId="0" applyAlignment="1">
      <alignment horizontal="right"/>
    </xf>
    <xf numFmtId="0" fontId="0" fillId="0" borderId="0" xfId="0"/>
    <xf numFmtId="43" fontId="0" fillId="0" borderId="0" xfId="1" applyFont="1"/>
    <xf numFmtId="15" fontId="0" fillId="0" borderId="0" xfId="0" applyNumberFormat="1"/>
    <xf numFmtId="0" fontId="11" fillId="0" borderId="0" xfId="0" applyFont="1" applyProtection="1"/>
    <xf numFmtId="0" fontId="11" fillId="0" borderId="0" xfId="0" applyFont="1" applyBorder="1" applyProtection="1"/>
    <xf numFmtId="0" fontId="11" fillId="8" borderId="0" xfId="0" applyFont="1" applyFill="1" applyBorder="1" applyProtection="1"/>
    <xf numFmtId="0" fontId="11" fillId="8" borderId="0" xfId="0" applyFont="1" applyFill="1" applyProtection="1"/>
    <xf numFmtId="0" fontId="0" fillId="8" borderId="0" xfId="0" applyFill="1" applyProtection="1"/>
    <xf numFmtId="0" fontId="12" fillId="10" borderId="1" xfId="0" applyFont="1" applyFill="1" applyBorder="1" applyAlignment="1" applyProtection="1">
      <alignment horizontal="center" vertical="center" wrapText="1"/>
    </xf>
    <xf numFmtId="0" fontId="13" fillId="8" borderId="0" xfId="0" applyFont="1" applyFill="1" applyProtection="1"/>
    <xf numFmtId="167" fontId="11" fillId="0" borderId="1" xfId="0" applyNumberFormat="1" applyFont="1" applyBorder="1" applyAlignment="1" applyProtection="1">
      <alignment horizontal="right" vertical="center"/>
    </xf>
    <xf numFmtId="167" fontId="12" fillId="7" borderId="1" xfId="0" applyNumberFormat="1" applyFont="1" applyFill="1" applyBorder="1" applyAlignment="1" applyProtection="1">
      <alignment horizontal="right" vertical="center"/>
    </xf>
    <xf numFmtId="0" fontId="9" fillId="9" borderId="1" xfId="0" applyFont="1" applyFill="1" applyBorder="1" applyAlignment="1" applyProtection="1">
      <alignment horizontal="center" vertical="center"/>
    </xf>
    <xf numFmtId="0" fontId="11" fillId="7" borderId="1" xfId="0" applyFont="1" applyFill="1" applyBorder="1" applyAlignment="1" applyProtection="1">
      <alignment horizontal="center" vertical="center"/>
    </xf>
    <xf numFmtId="4" fontId="11" fillId="0" borderId="1" xfId="0" applyNumberFormat="1" applyFont="1" applyBorder="1" applyAlignment="1" applyProtection="1">
      <alignment horizontal="center" vertical="center"/>
    </xf>
    <xf numFmtId="0" fontId="11" fillId="7" borderId="18" xfId="0" applyFont="1" applyFill="1" applyBorder="1" applyAlignment="1" applyProtection="1">
      <alignment horizontal="center" vertical="center"/>
    </xf>
    <xf numFmtId="0" fontId="11" fillId="7" borderId="5" xfId="0" applyFont="1" applyFill="1" applyBorder="1" applyAlignment="1" applyProtection="1">
      <alignment horizontal="center" vertical="center"/>
    </xf>
    <xf numFmtId="0" fontId="4" fillId="9" borderId="1" xfId="0" applyFont="1" applyFill="1" applyBorder="1"/>
    <xf numFmtId="0" fontId="14" fillId="0" borderId="1" xfId="0" applyFont="1" applyBorder="1"/>
    <xf numFmtId="164" fontId="14" fillId="0" borderId="1" xfId="0" applyNumberFormat="1" applyFont="1" applyBorder="1"/>
    <xf numFmtId="167" fontId="6" fillId="7" borderId="1" xfId="0" applyNumberFormat="1" applyFont="1" applyFill="1" applyBorder="1" applyAlignment="1" applyProtection="1">
      <alignment horizontal="right" vertical="center"/>
    </xf>
    <xf numFmtId="167" fontId="16" fillId="7" borderId="1" xfId="0" applyNumberFormat="1" applyFont="1" applyFill="1" applyBorder="1" applyAlignment="1" applyProtection="1">
      <alignment horizontal="right" vertical="center"/>
    </xf>
    <xf numFmtId="43" fontId="0" fillId="0" borderId="0" xfId="1" applyFont="1" applyAlignment="1">
      <alignment horizontal="center" vertical="center"/>
    </xf>
    <xf numFmtId="43" fontId="0" fillId="0" borderId="1" xfId="1" applyFont="1" applyBorder="1" applyAlignment="1">
      <alignment horizontal="center" vertical="center"/>
    </xf>
    <xf numFmtId="167" fontId="6" fillId="7" borderId="1" xfId="0" quotePrefix="1" applyNumberFormat="1" applyFont="1" applyFill="1" applyBorder="1" applyAlignment="1" applyProtection="1">
      <alignment horizontal="right" vertical="center"/>
    </xf>
    <xf numFmtId="0" fontId="0" fillId="14" borderId="0" xfId="0" applyFill="1" applyAlignment="1">
      <alignment horizontal="center" vertical="top"/>
    </xf>
    <xf numFmtId="0" fontId="0" fillId="14" borderId="0" xfId="0" applyNumberFormat="1" applyFill="1" applyAlignment="1">
      <alignment horizontal="center" vertical="top"/>
    </xf>
    <xf numFmtId="167" fontId="6" fillId="7" borderId="1" xfId="1" applyNumberFormat="1" applyFont="1" applyFill="1" applyBorder="1" applyAlignment="1" applyProtection="1">
      <alignment horizontal="right" vertical="center"/>
    </xf>
    <xf numFmtId="0" fontId="0" fillId="16" borderId="0" xfId="0" applyFill="1" applyAlignment="1">
      <alignment horizontal="center"/>
    </xf>
    <xf numFmtId="164" fontId="0" fillId="0" borderId="0" xfId="0" applyNumberFormat="1"/>
    <xf numFmtId="164"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21" fillId="18" borderId="1" xfId="0" applyFont="1" applyFill="1" applyBorder="1" applyAlignment="1">
      <alignment horizontal="center" vertical="center"/>
    </xf>
    <xf numFmtId="0" fontId="14" fillId="0" borderId="0" xfId="0" applyFont="1" applyBorder="1" applyAlignment="1">
      <alignment horizontal="center" vertical="center"/>
    </xf>
    <xf numFmtId="0" fontId="0" fillId="0" borderId="0" xfId="0" applyAlignment="1">
      <alignment horizontal="left" vertical="top"/>
    </xf>
    <xf numFmtId="0" fontId="0" fillId="0" borderId="0" xfId="0" applyBorder="1"/>
    <xf numFmtId="0" fontId="2" fillId="0" borderId="0" xfId="0" applyFont="1" applyFill="1" applyBorder="1" applyAlignment="1"/>
    <xf numFmtId="0" fontId="10" fillId="10" borderId="1" xfId="0" applyFont="1" applyFill="1" applyBorder="1" applyAlignment="1" applyProtection="1">
      <alignment horizontal="left" vertical="center"/>
    </xf>
    <xf numFmtId="0" fontId="10" fillId="10" borderId="2" xfId="0" applyFont="1" applyFill="1" applyBorder="1" applyAlignment="1" applyProtection="1">
      <alignment horizontal="left" vertical="center"/>
    </xf>
    <xf numFmtId="0" fontId="11" fillId="19" borderId="0" xfId="0" applyFont="1" applyFill="1" applyProtection="1"/>
    <xf numFmtId="0" fontId="11" fillId="19" borderId="0" xfId="0" applyFont="1" applyFill="1" applyBorder="1" applyProtection="1"/>
    <xf numFmtId="0" fontId="0" fillId="19" borderId="0" xfId="0" applyFill="1" applyProtection="1"/>
    <xf numFmtId="0" fontId="2" fillId="2" borderId="0" xfId="0" applyFont="1" applyFill="1" applyBorder="1" applyAlignment="1">
      <alignment horizontal="center"/>
    </xf>
    <xf numFmtId="0" fontId="0" fillId="8" borderId="0" xfId="0" applyFill="1"/>
    <xf numFmtId="0" fontId="11" fillId="8" borderId="19" xfId="0" applyNumberFormat="1" applyFont="1" applyFill="1" applyBorder="1" applyProtection="1"/>
    <xf numFmtId="0" fontId="14" fillId="21" borderId="1" xfId="0" applyFont="1" applyFill="1" applyBorder="1" applyAlignment="1">
      <alignment horizontal="center"/>
    </xf>
    <xf numFmtId="0" fontId="0" fillId="0" borderId="1" xfId="0" applyBorder="1" applyAlignment="1">
      <alignment horizontal="center" vertical="top"/>
    </xf>
    <xf numFmtId="0" fontId="0" fillId="0" borderId="1" xfId="0" applyFont="1" applyBorder="1" applyAlignment="1">
      <alignment horizontal="center" vertical="top"/>
    </xf>
    <xf numFmtId="0" fontId="14" fillId="21" borderId="5" xfId="0" applyFont="1" applyFill="1" applyBorder="1" applyAlignment="1">
      <alignment horizontal="center"/>
    </xf>
    <xf numFmtId="0" fontId="14" fillId="21" borderId="1" xfId="0" applyFont="1" applyFill="1" applyBorder="1" applyAlignment="1">
      <alignment wrapText="1"/>
    </xf>
    <xf numFmtId="0" fontId="0" fillId="0" borderId="1" xfId="0" applyBorder="1" applyAlignment="1">
      <alignment horizontal="center" vertical="top" wrapText="1"/>
    </xf>
    <xf numFmtId="0" fontId="14" fillId="15"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1" xfId="0" applyFont="1" applyBorder="1" applyAlignment="1">
      <alignment horizontal="center" vertical="top" wrapText="1"/>
    </xf>
    <xf numFmtId="0" fontId="0" fillId="0" borderId="1" xfId="0" applyFill="1" applyBorder="1" applyAlignment="1">
      <alignment horizontal="center" vertical="top" wrapText="1"/>
    </xf>
    <xf numFmtId="0" fontId="10" fillId="10" borderId="1" xfId="3" applyFont="1" applyFill="1" applyBorder="1" applyAlignment="1" applyProtection="1">
      <alignment horizontal="left" vertical="center"/>
    </xf>
    <xf numFmtId="0" fontId="12" fillId="7" borderId="11"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44" fontId="0" fillId="0" borderId="0" xfId="4" applyFont="1"/>
    <xf numFmtId="0" fontId="0" fillId="8" borderId="0" xfId="0" applyFill="1" applyAlignment="1">
      <alignment horizontal="center"/>
    </xf>
    <xf numFmtId="167" fontId="6" fillId="8" borderId="5" xfId="1" quotePrefix="1" applyNumberFormat="1" applyFont="1" applyFill="1" applyBorder="1" applyAlignment="1" applyProtection="1">
      <alignment horizontal="right" vertical="center"/>
      <protection locked="0"/>
    </xf>
    <xf numFmtId="167" fontId="6" fillId="8" borderId="5" xfId="1" applyNumberFormat="1" applyFont="1" applyFill="1" applyBorder="1" applyAlignment="1" applyProtection="1">
      <alignment horizontal="right" vertical="center"/>
      <protection locked="0"/>
    </xf>
    <xf numFmtId="167" fontId="6" fillId="8" borderId="1" xfId="1" applyNumberFormat="1" applyFont="1" applyFill="1" applyBorder="1" applyAlignment="1" applyProtection="1">
      <alignment horizontal="right" vertical="center"/>
      <protection locked="0"/>
    </xf>
    <xf numFmtId="167" fontId="6" fillId="8" borderId="4" xfId="1" applyNumberFormat="1" applyFont="1" applyFill="1" applyBorder="1" applyAlignment="1" applyProtection="1">
      <alignment vertical="center"/>
      <protection locked="0"/>
    </xf>
    <xf numFmtId="167" fontId="11" fillId="8" borderId="4" xfId="1" applyNumberFormat="1" applyFont="1" applyFill="1" applyBorder="1" applyAlignment="1" applyProtection="1">
      <alignment horizontal="right" vertical="center"/>
      <protection locked="0"/>
    </xf>
    <xf numFmtId="0" fontId="11" fillId="8" borderId="8" xfId="0" applyFont="1" applyFill="1" applyBorder="1" applyAlignment="1" applyProtection="1">
      <alignment wrapText="1"/>
    </xf>
    <xf numFmtId="4" fontId="0" fillId="8" borderId="0" xfId="0" applyNumberFormat="1" applyFill="1"/>
    <xf numFmtId="0" fontId="32" fillId="0" borderId="0" xfId="0" applyFont="1" applyProtection="1"/>
    <xf numFmtId="0" fontId="13" fillId="7" borderId="0" xfId="0" applyFont="1" applyFill="1" applyAlignment="1">
      <alignment horizontal="center" vertical="center"/>
    </xf>
    <xf numFmtId="165" fontId="0" fillId="0" borderId="0" xfId="0" applyNumberFormat="1" applyAlignment="1">
      <alignment horizontal="left" vertical="top" wrapText="1"/>
    </xf>
    <xf numFmtId="165" fontId="0" fillId="0" borderId="0" xfId="0" quotePrefix="1" applyNumberFormat="1" applyAlignment="1">
      <alignment horizontal="left" vertical="top" wrapText="1"/>
    </xf>
    <xf numFmtId="170" fontId="0" fillId="0" borderId="0" xfId="0" applyNumberFormat="1" applyAlignment="1">
      <alignment horizontal="left" vertical="top" wrapText="1"/>
    </xf>
    <xf numFmtId="0" fontId="0" fillId="0" borderId="0" xfId="0" quotePrefix="1" applyAlignment="1">
      <alignment horizontal="left" vertical="top" wrapText="1"/>
    </xf>
    <xf numFmtId="0" fontId="3" fillId="0" borderId="0" xfId="0" applyFont="1" applyAlignment="1">
      <alignment horizontal="left" vertical="top" wrapText="1"/>
    </xf>
    <xf numFmtId="0" fontId="0" fillId="0" borderId="0" xfId="0" applyNumberFormat="1" applyAlignment="1">
      <alignment horizontal="left" vertical="top" wrapText="1"/>
    </xf>
    <xf numFmtId="0" fontId="23" fillId="0" borderId="0" xfId="0" applyNumberFormat="1" applyFont="1" applyAlignment="1">
      <alignment horizontal="left" vertical="top" wrapText="1"/>
    </xf>
    <xf numFmtId="0" fontId="3" fillId="0" borderId="0" xfId="0" applyNumberFormat="1" applyFont="1" applyAlignment="1">
      <alignment horizontal="left" vertical="top" wrapText="1"/>
    </xf>
    <xf numFmtId="0" fontId="0" fillId="0" borderId="0" xfId="0" applyNumberFormat="1" applyFill="1" applyAlignment="1">
      <alignment horizontal="left" vertical="top" wrapText="1"/>
    </xf>
    <xf numFmtId="0" fontId="0" fillId="0" borderId="0" xfId="0" applyFill="1" applyAlignment="1">
      <alignment horizontal="left" vertical="top" wrapText="1"/>
    </xf>
    <xf numFmtId="165" fontId="0" fillId="0" borderId="0" xfId="0" applyNumberFormat="1" applyFill="1" applyAlignment="1">
      <alignment horizontal="left" vertical="top" wrapText="1"/>
    </xf>
    <xf numFmtId="170" fontId="0" fillId="0" borderId="0" xfId="0" applyNumberFormat="1" applyFill="1" applyAlignment="1">
      <alignment horizontal="left" vertical="top" wrapText="1"/>
    </xf>
    <xf numFmtId="0" fontId="0" fillId="0" borderId="0" xfId="0" quotePrefix="1" applyNumberFormat="1" applyAlignment="1">
      <alignment horizontal="left" vertical="top" wrapText="1"/>
    </xf>
    <xf numFmtId="170" fontId="0" fillId="0" borderId="0" xfId="0" quotePrefix="1" applyNumberFormat="1" applyAlignment="1">
      <alignment horizontal="left" vertical="top" wrapText="1"/>
    </xf>
    <xf numFmtId="0" fontId="29" fillId="0" borderId="0" xfId="0" applyNumberFormat="1" applyFont="1" applyAlignment="1">
      <alignment horizontal="left" vertical="top" wrapText="1"/>
    </xf>
    <xf numFmtId="0" fontId="0" fillId="5" borderId="0" xfId="0" applyNumberFormat="1" applyFill="1" applyAlignment="1">
      <alignment horizontal="left" vertical="top" wrapText="1"/>
    </xf>
    <xf numFmtId="165" fontId="0" fillId="5" borderId="0" xfId="0" applyNumberFormat="1" applyFill="1" applyAlignment="1">
      <alignment horizontal="left" vertical="top" wrapText="1"/>
    </xf>
    <xf numFmtId="170" fontId="0" fillId="5" borderId="0" xfId="0" applyNumberFormat="1" applyFill="1" applyAlignment="1">
      <alignment horizontal="left" vertical="top" wrapText="1"/>
    </xf>
    <xf numFmtId="0" fontId="0" fillId="5" borderId="0" xfId="0" applyFill="1" applyAlignment="1">
      <alignment horizontal="left" vertical="top" wrapText="1"/>
    </xf>
    <xf numFmtId="0" fontId="3" fillId="5" borderId="0" xfId="0" applyFont="1" applyFill="1" applyAlignment="1">
      <alignment horizontal="left" vertical="top" wrapText="1"/>
    </xf>
    <xf numFmtId="0" fontId="3" fillId="5" borderId="0" xfId="0" applyNumberFormat="1" applyFont="1" applyFill="1" applyAlignment="1">
      <alignment horizontal="left" vertical="top" wrapText="1"/>
    </xf>
    <xf numFmtId="0" fontId="29" fillId="0" borderId="0" xfId="0" applyFont="1" applyAlignment="1">
      <alignment horizontal="left" vertical="top" wrapText="1"/>
    </xf>
    <xf numFmtId="0" fontId="3" fillId="0" borderId="0" xfId="0" quotePrefix="1" applyFont="1" applyAlignment="1">
      <alignment horizontal="left" vertical="top" wrapText="1"/>
    </xf>
    <xf numFmtId="0" fontId="0" fillId="17" borderId="0" xfId="0" quotePrefix="1" applyFill="1" applyAlignment="1">
      <alignment horizontal="left" vertical="top" wrapText="1"/>
    </xf>
    <xf numFmtId="0" fontId="0" fillId="0" borderId="0" xfId="0" applyNumberFormat="1"/>
    <xf numFmtId="0" fontId="0" fillId="22" borderId="0" xfId="0" applyFill="1"/>
    <xf numFmtId="0" fontId="0" fillId="8" borderId="0" xfId="0" applyNumberFormat="1" applyFill="1"/>
    <xf numFmtId="0" fontId="0" fillId="5" borderId="0" xfId="0" quotePrefix="1" applyFill="1" applyAlignment="1">
      <alignment horizontal="left" vertical="top" wrapText="1"/>
    </xf>
    <xf numFmtId="171" fontId="6" fillId="8" borderId="1" xfId="1" applyNumberFormat="1" applyFont="1" applyFill="1" applyBorder="1" applyAlignment="1" applyProtection="1">
      <alignment vertical="center"/>
      <protection locked="0"/>
    </xf>
    <xf numFmtId="0" fontId="11" fillId="0" borderId="0" xfId="0" quotePrefix="1" applyFont="1" applyProtection="1"/>
    <xf numFmtId="0" fontId="24" fillId="0" borderId="0" xfId="0" applyFont="1"/>
    <xf numFmtId="169" fontId="24" fillId="0" borderId="0" xfId="0" applyNumberFormat="1" applyFont="1"/>
    <xf numFmtId="0" fontId="33" fillId="10" borderId="5" xfId="0" applyFont="1" applyFill="1" applyBorder="1" applyAlignment="1">
      <alignment horizontal="center" vertical="center"/>
    </xf>
    <xf numFmtId="0" fontId="33" fillId="10" borderId="11" xfId="0" applyFont="1" applyFill="1" applyBorder="1" applyAlignment="1">
      <alignment horizontal="center" vertical="center"/>
    </xf>
    <xf numFmtId="0" fontId="36" fillId="10" borderId="1" xfId="0" applyFont="1" applyFill="1" applyBorder="1" applyAlignment="1">
      <alignment horizontal="center" vertical="center"/>
    </xf>
    <xf numFmtId="0" fontId="35" fillId="23" borderId="12" xfId="0" applyFont="1" applyFill="1" applyBorder="1" applyAlignment="1">
      <alignment horizontal="left" vertical="center"/>
    </xf>
    <xf numFmtId="0" fontId="34" fillId="10" borderId="5" xfId="0" applyFont="1" applyFill="1" applyBorder="1" applyAlignment="1">
      <alignment horizontal="center" vertical="center"/>
    </xf>
    <xf numFmtId="172" fontId="38" fillId="24" borderId="1" xfId="0" applyNumberFormat="1" applyFont="1" applyFill="1" applyBorder="1" applyAlignment="1">
      <alignment horizontal="center" vertical="center" wrapText="1"/>
    </xf>
    <xf numFmtId="0" fontId="14" fillId="25" borderId="1" xfId="0" applyFont="1" applyFill="1" applyBorder="1"/>
    <xf numFmtId="0" fontId="0" fillId="0" borderId="0" xfId="0" applyNumberFormat="1" applyAlignment="1">
      <alignment wrapText="1"/>
    </xf>
    <xf numFmtId="0" fontId="0" fillId="14" borderId="0" xfId="0" applyFill="1"/>
    <xf numFmtId="170" fontId="0" fillId="0" borderId="0" xfId="0" applyNumberFormat="1" applyAlignment="1">
      <alignment horizontal="right" wrapText="1"/>
    </xf>
    <xf numFmtId="170" fontId="0" fillId="0" borderId="0" xfId="0" applyNumberFormat="1"/>
    <xf numFmtId="0" fontId="0" fillId="0" borderId="21" xfId="0" applyFont="1" applyBorder="1" applyAlignment="1">
      <alignment horizontal="left" vertical="top"/>
    </xf>
    <xf numFmtId="0" fontId="0" fillId="0" borderId="20" xfId="0" applyFont="1" applyBorder="1" applyAlignment="1">
      <alignment horizontal="left" vertical="top"/>
    </xf>
    <xf numFmtId="0" fontId="0" fillId="0" borderId="0" xfId="0" applyFont="1" applyBorder="1" applyAlignment="1">
      <alignment horizontal="left" vertical="top"/>
    </xf>
    <xf numFmtId="0" fontId="14" fillId="0" borderId="0" xfId="0" applyFont="1" applyAlignment="1">
      <alignment horizontal="right"/>
    </xf>
    <xf numFmtId="0" fontId="24" fillId="8" borderId="0" xfId="0" applyFont="1" applyFill="1"/>
    <xf numFmtId="0" fontId="37" fillId="8" borderId="0" xfId="3" applyFont="1" applyFill="1" applyAlignment="1">
      <alignment vertical="center"/>
    </xf>
    <xf numFmtId="0" fontId="39" fillId="8" borderId="0" xfId="0" applyFont="1" applyFill="1"/>
    <xf numFmtId="0" fontId="12" fillId="8" borderId="0" xfId="0" applyFont="1" applyFill="1" applyAlignment="1">
      <alignment horizontal="left"/>
    </xf>
    <xf numFmtId="0" fontId="12" fillId="8" borderId="0" xfId="0" applyFont="1" applyFill="1"/>
    <xf numFmtId="0" fontId="33" fillId="8" borderId="0" xfId="0" applyFont="1" applyFill="1" applyAlignment="1">
      <alignment horizontal="right"/>
    </xf>
    <xf numFmtId="0" fontId="33" fillId="26" borderId="4" xfId="0" applyFont="1" applyFill="1" applyBorder="1" applyAlignment="1">
      <alignment horizontal="left" indent="2"/>
    </xf>
    <xf numFmtId="0" fontId="33" fillId="26" borderId="10" xfId="0" applyFont="1" applyFill="1" applyBorder="1" applyAlignment="1">
      <alignment horizontal="left" indent="2"/>
    </xf>
    <xf numFmtId="3" fontId="24" fillId="0" borderId="1" xfId="0" applyNumberFormat="1" applyFont="1" applyFill="1" applyBorder="1" applyAlignment="1">
      <alignment horizontal="right" vertical="center" indent="2"/>
    </xf>
    <xf numFmtId="3" fontId="24" fillId="0" borderId="2" xfId="0" applyNumberFormat="1" applyFont="1" applyFill="1" applyBorder="1" applyAlignment="1">
      <alignment horizontal="right" vertical="center" indent="2"/>
    </xf>
    <xf numFmtId="3" fontId="24" fillId="0" borderId="14" xfId="0" applyNumberFormat="1" applyFont="1" applyFill="1" applyBorder="1" applyAlignment="1">
      <alignment horizontal="right" vertical="center" indent="2"/>
    </xf>
    <xf numFmtId="3" fontId="24" fillId="0" borderId="9" xfId="0" applyNumberFormat="1" applyFont="1" applyFill="1" applyBorder="1" applyAlignment="1">
      <alignment horizontal="right" vertical="center" indent="2"/>
    </xf>
    <xf numFmtId="167" fontId="6" fillId="7" borderId="2" xfId="0" applyNumberFormat="1" applyFont="1" applyFill="1" applyBorder="1" applyAlignment="1" applyProtection="1">
      <alignment horizontal="right" vertical="center"/>
    </xf>
    <xf numFmtId="167" fontId="6" fillId="7" borderId="4" xfId="0" applyNumberFormat="1" applyFont="1" applyFill="1" applyBorder="1" applyAlignment="1" applyProtection="1">
      <alignment horizontal="right" vertical="center"/>
    </xf>
    <xf numFmtId="0" fontId="12" fillId="7" borderId="1" xfId="0" applyFont="1" applyFill="1" applyBorder="1" applyAlignment="1" applyProtection="1">
      <alignment horizontal="center" vertical="center"/>
    </xf>
    <xf numFmtId="0" fontId="6" fillId="8" borderId="2"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9" fillId="9" borderId="2" xfId="0" applyFont="1" applyFill="1" applyBorder="1" applyAlignment="1" applyProtection="1">
      <alignment horizontal="left" vertical="center"/>
    </xf>
    <xf numFmtId="0" fontId="9" fillId="9" borderId="3" xfId="0" applyFont="1" applyFill="1" applyBorder="1" applyAlignment="1" applyProtection="1">
      <alignment horizontal="left" vertical="center"/>
    </xf>
    <xf numFmtId="0" fontId="9" fillId="9" borderId="4" xfId="0" applyFont="1" applyFill="1" applyBorder="1" applyAlignment="1" applyProtection="1">
      <alignment horizontal="left" vertical="center"/>
    </xf>
    <xf numFmtId="0" fontId="10" fillId="20" borderId="1" xfId="0" applyFont="1" applyFill="1" applyBorder="1" applyAlignment="1" applyProtection="1">
      <alignment horizontal="left" vertical="center"/>
    </xf>
    <xf numFmtId="0" fontId="6" fillId="8" borderId="3" xfId="0" applyFont="1" applyFill="1" applyBorder="1" applyAlignment="1" applyProtection="1">
      <alignment horizontal="center" vertical="center"/>
      <protection locked="0"/>
    </xf>
    <xf numFmtId="0" fontId="9" fillId="9" borderId="8" xfId="0" applyFont="1" applyFill="1" applyBorder="1" applyAlignment="1" applyProtection="1">
      <alignment horizontal="left" vertical="center"/>
    </xf>
    <xf numFmtId="0" fontId="9" fillId="9" borderId="10" xfId="0" applyFont="1" applyFill="1" applyBorder="1" applyAlignment="1" applyProtection="1">
      <alignment horizontal="left" vertical="center"/>
    </xf>
    <xf numFmtId="164" fontId="6" fillId="8" borderId="2" xfId="0" applyNumberFormat="1" applyFont="1" applyFill="1" applyBorder="1" applyAlignment="1" applyProtection="1">
      <alignment horizontal="center" vertical="center"/>
      <protection locked="0"/>
    </xf>
    <xf numFmtId="164" fontId="6" fillId="8" borderId="4" xfId="0" applyNumberFormat="1"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12" fillId="10" borderId="9" xfId="0" applyFont="1" applyFill="1" applyBorder="1" applyAlignment="1" applyProtection="1">
      <alignment horizontal="center" vertical="center" wrapText="1"/>
    </xf>
    <xf numFmtId="0" fontId="12" fillId="10" borderId="10" xfId="0" applyFont="1" applyFill="1" applyBorder="1" applyAlignment="1" applyProtection="1">
      <alignment horizontal="center" vertical="center" wrapText="1"/>
    </xf>
    <xf numFmtId="0" fontId="12" fillId="10" borderId="11" xfId="0" applyFont="1" applyFill="1" applyBorder="1" applyAlignment="1" applyProtection="1">
      <alignment horizontal="center" vertical="center" wrapText="1"/>
    </xf>
    <xf numFmtId="0" fontId="12" fillId="10" borderId="12" xfId="0" applyFont="1" applyFill="1" applyBorder="1" applyAlignment="1" applyProtection="1">
      <alignment horizontal="center" vertical="center" wrapText="1"/>
    </xf>
    <xf numFmtId="0" fontId="12" fillId="10" borderId="14" xfId="0" applyFont="1" applyFill="1" applyBorder="1" applyAlignment="1" applyProtection="1">
      <alignment horizontal="center" vertical="center" wrapText="1"/>
    </xf>
    <xf numFmtId="0" fontId="12" fillId="10" borderId="5" xfId="0" applyFont="1" applyFill="1" applyBorder="1" applyAlignment="1" applyProtection="1">
      <alignment horizontal="center" vertical="center" wrapText="1"/>
    </xf>
    <xf numFmtId="0" fontId="8" fillId="10" borderId="14"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0" fillId="8" borderId="1" xfId="0" applyFill="1" applyBorder="1" applyAlignment="1" applyProtection="1">
      <alignment horizontal="center" vertical="center" wrapText="1"/>
    </xf>
    <xf numFmtId="0" fontId="9" fillId="9" borderId="7" xfId="0" applyFont="1" applyFill="1" applyBorder="1" applyAlignment="1" applyProtection="1">
      <alignment horizontal="left" vertical="center"/>
    </xf>
    <xf numFmtId="0" fontId="9" fillId="9" borderId="0" xfId="0" applyFont="1" applyFill="1" applyBorder="1" applyAlignment="1" applyProtection="1">
      <alignment horizontal="left" vertical="center"/>
    </xf>
    <xf numFmtId="0" fontId="9" fillId="9" borderId="6" xfId="0" applyFont="1" applyFill="1" applyBorder="1" applyAlignment="1" applyProtection="1">
      <alignment horizontal="left" vertical="center"/>
    </xf>
    <xf numFmtId="164" fontId="11" fillId="8" borderId="1" xfId="0" applyNumberFormat="1" applyFont="1" applyFill="1" applyBorder="1" applyAlignment="1" applyProtection="1">
      <alignment horizontal="center" vertical="center"/>
      <protection locked="0"/>
    </xf>
    <xf numFmtId="0" fontId="12" fillId="10" borderId="8" xfId="0" applyFont="1" applyFill="1" applyBorder="1" applyAlignment="1" applyProtection="1">
      <alignment horizontal="center" vertical="center" wrapText="1"/>
    </xf>
    <xf numFmtId="0" fontId="12" fillId="10" borderId="13" xfId="0" applyFont="1" applyFill="1" applyBorder="1" applyAlignment="1" applyProtection="1">
      <alignment horizontal="center" vertical="center" wrapText="1"/>
    </xf>
    <xf numFmtId="0" fontId="12" fillId="7" borderId="1" xfId="0" applyFont="1" applyFill="1" applyBorder="1" applyAlignment="1" applyProtection="1">
      <alignment horizontal="left" vertical="center"/>
    </xf>
    <xf numFmtId="0" fontId="11" fillId="8" borderId="9" xfId="0" applyFont="1" applyFill="1" applyBorder="1" applyAlignment="1" applyProtection="1">
      <alignment horizontal="center" vertical="center" wrapText="1"/>
      <protection locked="0"/>
    </xf>
    <xf numFmtId="0" fontId="11" fillId="8" borderId="8"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wrapText="1"/>
      <protection locked="0"/>
    </xf>
    <xf numFmtId="0" fontId="11" fillId="8" borderId="7" xfId="0" applyFont="1" applyFill="1" applyBorder="1" applyAlignment="1" applyProtection="1">
      <alignment horizontal="center" vertical="center" wrapText="1"/>
      <protection locked="0"/>
    </xf>
    <xf numFmtId="0" fontId="11" fillId="8" borderId="0"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11" fillId="8" borderId="9" xfId="0" applyFont="1" applyFill="1" applyBorder="1" applyAlignment="1" applyProtection="1">
      <alignment horizontal="center" vertical="center" wrapText="1"/>
    </xf>
    <xf numFmtId="0" fontId="11" fillId="8" borderId="8" xfId="0" applyFont="1" applyFill="1" applyBorder="1" applyAlignment="1" applyProtection="1">
      <alignment horizontal="center" vertical="center" wrapText="1"/>
    </xf>
    <xf numFmtId="0" fontId="11" fillId="8" borderId="10" xfId="0" applyFont="1" applyFill="1" applyBorder="1" applyAlignment="1" applyProtection="1">
      <alignment horizontal="center" vertical="center" wrapText="1"/>
    </xf>
    <xf numFmtId="0" fontId="11" fillId="8" borderId="7"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6"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11" fillId="8" borderId="12" xfId="0" applyFont="1" applyFill="1" applyBorder="1" applyAlignment="1" applyProtection="1">
      <alignment horizontal="center" vertical="center" wrapText="1"/>
    </xf>
    <xf numFmtId="0" fontId="10" fillId="7" borderId="1" xfId="0" applyFont="1" applyFill="1" applyBorder="1" applyAlignment="1" applyProtection="1">
      <alignment horizontal="left" vertical="center"/>
    </xf>
    <xf numFmtId="0" fontId="15" fillId="0" borderId="1" xfId="0" applyFont="1" applyFill="1" applyBorder="1" applyAlignment="1" applyProtection="1">
      <alignment horizontal="left" vertical="center" indent="2"/>
    </xf>
    <xf numFmtId="0" fontId="8" fillId="7" borderId="1" xfId="0" applyFont="1" applyFill="1" applyBorder="1" applyAlignment="1" applyProtection="1">
      <alignment horizontal="center" vertical="center"/>
    </xf>
    <xf numFmtId="0" fontId="20" fillId="8" borderId="1" xfId="0" quotePrefix="1" applyFont="1" applyFill="1" applyBorder="1" applyAlignment="1" applyProtection="1">
      <alignment horizontal="center" vertical="center"/>
    </xf>
    <xf numFmtId="0" fontId="20" fillId="8" borderId="1" xfId="0" applyFont="1" applyFill="1" applyBorder="1" applyAlignment="1" applyProtection="1">
      <alignment horizontal="center" vertical="center"/>
    </xf>
    <xf numFmtId="0" fontId="6" fillId="8" borderId="1" xfId="1" applyNumberFormat="1" applyFont="1" applyFill="1" applyBorder="1" applyAlignment="1" applyProtection="1">
      <alignment horizontal="center" vertical="center" wrapText="1"/>
      <protection locked="0"/>
    </xf>
    <xf numFmtId="0" fontId="5" fillId="9" borderId="1" xfId="0" applyFont="1" applyFill="1" applyBorder="1" applyAlignment="1" applyProtection="1">
      <alignment horizontal="center" vertical="center" wrapText="1"/>
    </xf>
    <xf numFmtId="0" fontId="19" fillId="6" borderId="9" xfId="0" applyFont="1" applyFill="1" applyBorder="1" applyAlignment="1" applyProtection="1">
      <alignment horizontal="left" vertical="center" wrapText="1" indent="1"/>
    </xf>
    <xf numFmtId="0" fontId="19" fillId="6" borderId="8" xfId="0" applyFont="1" applyFill="1" applyBorder="1" applyAlignment="1" applyProtection="1">
      <alignment horizontal="left" vertical="center" wrapText="1" indent="1"/>
    </xf>
    <xf numFmtId="0" fontId="19" fillId="6" borderId="10" xfId="0" applyFont="1" applyFill="1" applyBorder="1" applyAlignment="1" applyProtection="1">
      <alignment horizontal="left" vertical="center" wrapText="1" indent="1"/>
    </xf>
    <xf numFmtId="0" fontId="19" fillId="6" borderId="11" xfId="0" applyFont="1" applyFill="1" applyBorder="1" applyAlignment="1" applyProtection="1">
      <alignment horizontal="left" vertical="center" wrapText="1" indent="1"/>
    </xf>
    <xf numFmtId="0" fontId="19" fillId="6" borderId="13" xfId="0" applyFont="1" applyFill="1" applyBorder="1" applyAlignment="1" applyProtection="1">
      <alignment horizontal="left" vertical="center" wrapText="1" indent="1"/>
    </xf>
    <xf numFmtId="0" fontId="19" fillId="6" borderId="12" xfId="0" applyFont="1" applyFill="1" applyBorder="1" applyAlignment="1" applyProtection="1">
      <alignment horizontal="left" vertical="center" wrapText="1" indent="1"/>
    </xf>
    <xf numFmtId="0" fontId="18" fillId="5" borderId="9" xfId="0" applyFont="1" applyFill="1" applyBorder="1" applyAlignment="1" applyProtection="1">
      <alignment horizontal="left" vertical="center" wrapText="1" indent="1"/>
    </xf>
    <xf numFmtId="0" fontId="18" fillId="5" borderId="8" xfId="0" applyFont="1" applyFill="1" applyBorder="1" applyAlignment="1" applyProtection="1">
      <alignment horizontal="left" vertical="center" wrapText="1" indent="1"/>
    </xf>
    <xf numFmtId="0" fontId="18" fillId="5" borderId="10" xfId="0" applyFont="1" applyFill="1" applyBorder="1" applyAlignment="1" applyProtection="1">
      <alignment horizontal="left" vertical="center" wrapText="1" indent="1"/>
    </xf>
    <xf numFmtId="0" fontId="18" fillId="5" borderId="11" xfId="0" applyFont="1" applyFill="1" applyBorder="1" applyAlignment="1" applyProtection="1">
      <alignment horizontal="left" vertical="center" wrapText="1" indent="1"/>
    </xf>
    <xf numFmtId="0" fontId="18" fillId="5" borderId="13" xfId="0" applyFont="1" applyFill="1" applyBorder="1" applyAlignment="1" applyProtection="1">
      <alignment horizontal="left" vertical="center" wrapText="1" indent="1"/>
    </xf>
    <xf numFmtId="0" fontId="18" fillId="5" borderId="12" xfId="0" applyFont="1" applyFill="1" applyBorder="1" applyAlignment="1" applyProtection="1">
      <alignment horizontal="left" vertical="center" wrapText="1" indent="1"/>
    </xf>
    <xf numFmtId="167" fontId="11" fillId="7" borderId="1" xfId="0" applyNumberFormat="1" applyFont="1" applyFill="1" applyBorder="1" applyAlignment="1" applyProtection="1">
      <alignment horizontal="right" vertical="center"/>
    </xf>
    <xf numFmtId="167" fontId="11" fillId="8" borderId="1" xfId="0" applyNumberFormat="1" applyFont="1" applyFill="1" applyBorder="1" applyAlignment="1" applyProtection="1">
      <alignment horizontal="right" vertical="center"/>
    </xf>
    <xf numFmtId="167" fontId="11" fillId="8" borderId="1" xfId="0" applyNumberFormat="1" applyFont="1" applyFill="1" applyBorder="1" applyAlignment="1" applyProtection="1">
      <alignment horizontal="right" vertical="center"/>
      <protection locked="0"/>
    </xf>
    <xf numFmtId="0" fontId="11" fillId="8" borderId="2" xfId="0" applyFont="1" applyFill="1" applyBorder="1" applyAlignment="1" applyProtection="1">
      <alignment horizontal="left" vertical="center" indent="1"/>
    </xf>
    <xf numFmtId="0" fontId="11" fillId="8" borderId="3" xfId="0" applyFont="1" applyFill="1" applyBorder="1" applyAlignment="1" applyProtection="1">
      <alignment horizontal="left" vertical="center" indent="1"/>
    </xf>
    <xf numFmtId="0" fontId="11" fillId="8" borderId="4" xfId="0" applyFont="1" applyFill="1" applyBorder="1" applyAlignment="1" applyProtection="1">
      <alignment horizontal="left" vertical="center" indent="1"/>
    </xf>
    <xf numFmtId="0" fontId="12" fillId="7" borderId="2" xfId="0"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167" fontId="6" fillId="8" borderId="2" xfId="0" applyNumberFormat="1" applyFont="1" applyFill="1" applyBorder="1" applyAlignment="1" applyProtection="1">
      <alignment horizontal="right" vertical="center"/>
      <protection locked="0"/>
    </xf>
    <xf numFmtId="167" fontId="6" fillId="8" borderId="4" xfId="0" applyNumberFormat="1" applyFont="1" applyFill="1" applyBorder="1" applyAlignment="1" applyProtection="1">
      <alignment horizontal="right" vertical="center"/>
      <protection locked="0"/>
    </xf>
    <xf numFmtId="0" fontId="9" fillId="9" borderId="1" xfId="0" applyFont="1" applyFill="1" applyBorder="1" applyAlignment="1" applyProtection="1">
      <alignment horizontal="left" vertical="center"/>
    </xf>
    <xf numFmtId="0" fontId="6" fillId="8" borderId="2" xfId="0" applyFont="1" applyFill="1" applyBorder="1" applyAlignment="1" applyProtection="1">
      <alignment horizontal="left" vertical="center" wrapText="1"/>
      <protection locked="0"/>
    </xf>
    <xf numFmtId="0" fontId="6" fillId="8" borderId="3" xfId="0" applyFont="1" applyFill="1" applyBorder="1" applyAlignment="1" applyProtection="1">
      <alignment horizontal="left" vertical="center" wrapText="1"/>
      <protection locked="0"/>
    </xf>
    <xf numFmtId="0" fontId="6" fillId="8" borderId="4" xfId="0" applyFont="1" applyFill="1" applyBorder="1" applyAlignment="1" applyProtection="1">
      <alignment horizontal="left" vertical="center" wrapText="1"/>
      <protection locked="0"/>
    </xf>
    <xf numFmtId="4" fontId="11" fillId="0" borderId="16" xfId="0" applyNumberFormat="1" applyFont="1" applyBorder="1" applyAlignment="1" applyProtection="1">
      <alignment horizontal="center" vertical="center"/>
    </xf>
    <xf numFmtId="4" fontId="11" fillId="0" borderId="17" xfId="0" applyNumberFormat="1" applyFont="1" applyBorder="1" applyAlignment="1" applyProtection="1">
      <alignment horizontal="center" vertical="center"/>
    </xf>
    <xf numFmtId="4" fontId="11" fillId="0" borderId="11" xfId="0" applyNumberFormat="1" applyFont="1" applyBorder="1" applyAlignment="1" applyProtection="1">
      <alignment horizontal="center" vertical="center"/>
    </xf>
    <xf numFmtId="4" fontId="11" fillId="0" borderId="12" xfId="0" applyNumberFormat="1" applyFont="1" applyBorder="1" applyAlignment="1" applyProtection="1">
      <alignment horizontal="center" vertical="center"/>
    </xf>
    <xf numFmtId="0" fontId="12" fillId="7" borderId="11" xfId="0" applyFont="1" applyFill="1" applyBorder="1" applyAlignment="1" applyProtection="1">
      <alignment horizontal="center" vertical="center" wrapText="1"/>
    </xf>
    <xf numFmtId="0" fontId="12" fillId="7" borderId="12" xfId="0" applyFont="1" applyFill="1" applyBorder="1" applyAlignment="1" applyProtection="1">
      <alignment horizontal="center" vertical="center" wrapText="1"/>
    </xf>
    <xf numFmtId="0" fontId="12" fillId="10" borderId="2" xfId="0" applyFont="1" applyFill="1" applyBorder="1" applyAlignment="1" applyProtection="1">
      <alignment horizontal="center" vertical="center" wrapText="1"/>
    </xf>
    <xf numFmtId="0" fontId="12" fillId="10" borderId="4" xfId="0" applyFont="1" applyFill="1" applyBorder="1" applyAlignment="1" applyProtection="1">
      <alignment horizontal="center" vertical="center" wrapText="1"/>
    </xf>
    <xf numFmtId="0" fontId="12" fillId="7" borderId="2" xfId="0" applyFont="1" applyFill="1" applyBorder="1" applyAlignment="1" applyProtection="1">
      <alignment horizontal="right"/>
    </xf>
    <xf numFmtId="0" fontId="12" fillId="7" borderId="3" xfId="0" applyFont="1" applyFill="1" applyBorder="1" applyAlignment="1" applyProtection="1">
      <alignment horizontal="right"/>
    </xf>
    <xf numFmtId="0" fontId="12" fillId="7" borderId="4" xfId="0" applyFont="1" applyFill="1" applyBorder="1" applyAlignment="1" applyProtection="1">
      <alignment horizontal="right"/>
    </xf>
    <xf numFmtId="0" fontId="11" fillId="8" borderId="1" xfId="0" applyFont="1" applyFill="1" applyBorder="1" applyAlignment="1" applyProtection="1">
      <alignment horizontal="center" vertical="center"/>
    </xf>
    <xf numFmtId="166" fontId="11" fillId="8" borderId="1" xfId="0"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right" vertical="center"/>
    </xf>
    <xf numFmtId="0" fontId="12" fillId="7" borderId="3" xfId="0" applyFont="1" applyFill="1" applyBorder="1" applyAlignment="1" applyProtection="1">
      <alignment horizontal="right" vertical="center"/>
    </xf>
    <xf numFmtId="0" fontId="12" fillId="7" borderId="4" xfId="0" applyFont="1" applyFill="1" applyBorder="1" applyAlignment="1" applyProtection="1">
      <alignment horizontal="right" vertical="center"/>
    </xf>
    <xf numFmtId="0" fontId="9" fillId="9" borderId="14" xfId="0" applyFont="1" applyFill="1" applyBorder="1" applyAlignment="1" applyProtection="1">
      <alignment horizontal="center" vertical="center" textRotation="90" wrapText="1"/>
    </xf>
    <xf numFmtId="0" fontId="9" fillId="9" borderId="15" xfId="0" applyFont="1" applyFill="1" applyBorder="1" applyAlignment="1" applyProtection="1">
      <alignment horizontal="center" vertical="center" textRotation="90" wrapText="1"/>
    </xf>
    <xf numFmtId="0" fontId="9" fillId="9" borderId="5" xfId="0" applyFont="1" applyFill="1" applyBorder="1" applyAlignment="1" applyProtection="1">
      <alignment horizontal="center" vertical="center" textRotation="90" wrapText="1"/>
    </xf>
    <xf numFmtId="0" fontId="6" fillId="8" borderId="2" xfId="0" applyFont="1" applyFill="1" applyBorder="1" applyAlignment="1" applyProtection="1">
      <alignment horizontal="left" vertical="center"/>
      <protection locked="0"/>
    </xf>
    <xf numFmtId="0" fontId="6" fillId="8" borderId="3" xfId="0" applyFont="1" applyFill="1" applyBorder="1" applyAlignment="1" applyProtection="1">
      <alignment horizontal="left" vertical="center"/>
      <protection locked="0"/>
    </xf>
    <xf numFmtId="0" fontId="6" fillId="8" borderId="4" xfId="0" applyFont="1" applyFill="1" applyBorder="1" applyAlignment="1" applyProtection="1">
      <alignment horizontal="left" vertical="center"/>
      <protection locked="0"/>
    </xf>
    <xf numFmtId="169" fontId="6" fillId="8" borderId="2" xfId="0" applyNumberFormat="1" applyFont="1" applyFill="1" applyBorder="1" applyAlignment="1" applyProtection="1">
      <alignment horizontal="left" vertical="center" wrapText="1"/>
      <protection locked="0"/>
    </xf>
    <xf numFmtId="169" fontId="6" fillId="8" borderId="4" xfId="0" applyNumberFormat="1" applyFont="1" applyFill="1" applyBorder="1" applyAlignment="1" applyProtection="1">
      <alignment horizontal="left" vertical="center" wrapText="1"/>
      <protection locked="0"/>
    </xf>
    <xf numFmtId="0" fontId="10" fillId="10" borderId="1" xfId="0" applyFont="1" applyFill="1" applyBorder="1" applyAlignment="1" applyProtection="1">
      <alignment horizontal="left" vertical="center" wrapText="1"/>
    </xf>
    <xf numFmtId="0" fontId="6" fillId="0" borderId="2"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8" fontId="6" fillId="8" borderId="2" xfId="0" applyNumberFormat="1" applyFont="1" applyFill="1" applyBorder="1" applyAlignment="1" applyProtection="1">
      <alignment horizontal="left" vertical="center" wrapText="1"/>
      <protection locked="0"/>
    </xf>
    <xf numFmtId="168" fontId="6" fillId="8" borderId="4" xfId="0" applyNumberFormat="1" applyFont="1" applyFill="1" applyBorder="1" applyAlignment="1" applyProtection="1">
      <alignment horizontal="left" vertical="center" wrapText="1"/>
      <protection locked="0"/>
    </xf>
    <xf numFmtId="164" fontId="6" fillId="8" borderId="2" xfId="0" applyNumberFormat="1" applyFont="1" applyFill="1" applyBorder="1" applyAlignment="1" applyProtection="1">
      <alignment horizontal="left" vertical="center" wrapText="1"/>
      <protection locked="0"/>
    </xf>
    <xf numFmtId="164" fontId="6" fillId="8" borderId="4" xfId="0" applyNumberFormat="1" applyFont="1" applyFill="1" applyBorder="1" applyAlignment="1" applyProtection="1">
      <alignment horizontal="left" vertical="center" wrapText="1"/>
      <protection locked="0"/>
    </xf>
    <xf numFmtId="0" fontId="11" fillId="0" borderId="1" xfId="0" applyFont="1" applyBorder="1" applyAlignment="1" applyProtection="1">
      <alignment horizontal="left" vertical="center"/>
      <protection locked="0"/>
    </xf>
    <xf numFmtId="167" fontId="11" fillId="8" borderId="1" xfId="0" applyNumberFormat="1" applyFont="1" applyFill="1" applyBorder="1" applyAlignment="1" applyProtection="1">
      <alignment horizontal="left" vertical="center" wrapText="1"/>
      <protection locked="0"/>
    </xf>
    <xf numFmtId="0" fontId="11" fillId="8" borderId="1" xfId="0" applyFont="1" applyFill="1" applyBorder="1" applyAlignment="1" applyProtection="1">
      <alignment horizontal="left" vertical="center"/>
      <protection locked="0"/>
    </xf>
    <xf numFmtId="0" fontId="22" fillId="9" borderId="1" xfId="0" applyFont="1" applyFill="1" applyBorder="1" applyAlignment="1" applyProtection="1">
      <alignment horizontal="center" vertical="center"/>
    </xf>
    <xf numFmtId="0" fontId="40" fillId="0" borderId="9" xfId="0" applyFont="1" applyBorder="1" applyAlignment="1" applyProtection="1">
      <alignment horizontal="center"/>
    </xf>
    <xf numFmtId="0" fontId="40" fillId="0" borderId="8" xfId="0" applyFont="1" applyBorder="1" applyAlignment="1" applyProtection="1">
      <alignment horizontal="center"/>
    </xf>
    <xf numFmtId="0" fontId="40" fillId="0" borderId="7" xfId="0" applyFont="1" applyBorder="1" applyAlignment="1" applyProtection="1">
      <alignment horizontal="center"/>
    </xf>
    <xf numFmtId="0" fontId="40" fillId="0" borderId="0" xfId="0" applyFont="1" applyBorder="1" applyAlignment="1" applyProtection="1">
      <alignment horizontal="center"/>
    </xf>
    <xf numFmtId="0" fontId="40" fillId="0" borderId="11" xfId="0" applyFont="1" applyBorder="1" applyAlignment="1" applyProtection="1">
      <alignment horizontal="center"/>
    </xf>
    <xf numFmtId="0" fontId="40" fillId="0" borderId="13" xfId="0" applyFont="1" applyBorder="1" applyAlignment="1" applyProtection="1">
      <alignment horizontal="center"/>
    </xf>
    <xf numFmtId="0" fontId="26" fillId="0" borderId="1" xfId="0" applyFont="1" applyBorder="1" applyAlignment="1" applyProtection="1">
      <alignment horizontal="left" wrapText="1"/>
    </xf>
    <xf numFmtId="0" fontId="12" fillId="5" borderId="1" xfId="0" quotePrefix="1" applyFont="1" applyFill="1" applyBorder="1" applyAlignment="1" applyProtection="1">
      <alignment horizontal="left" vertical="center" wrapText="1" indent="1"/>
    </xf>
    <xf numFmtId="0" fontId="12" fillId="5" borderId="1" xfId="0" applyFont="1" applyFill="1" applyBorder="1" applyAlignment="1" applyProtection="1">
      <alignment horizontal="left" vertical="center" wrapText="1" indent="1"/>
    </xf>
    <xf numFmtId="0" fontId="9" fillId="9" borderId="2" xfId="0" applyFont="1" applyFill="1" applyBorder="1" applyAlignment="1" applyProtection="1">
      <alignment horizontal="center" vertical="center"/>
    </xf>
    <xf numFmtId="0" fontId="9" fillId="9" borderId="3" xfId="0" applyFont="1" applyFill="1" applyBorder="1" applyAlignment="1" applyProtection="1">
      <alignment horizontal="center" vertical="center"/>
    </xf>
    <xf numFmtId="0" fontId="9" fillId="9" borderId="4" xfId="0" applyFont="1" applyFill="1" applyBorder="1" applyAlignment="1" applyProtection="1">
      <alignment horizontal="center" vertical="center"/>
    </xf>
    <xf numFmtId="0" fontId="9" fillId="9" borderId="1" xfId="0" applyFont="1" applyFill="1" applyBorder="1" applyAlignment="1" applyProtection="1">
      <alignment horizontal="left" vertical="center" wrapText="1"/>
    </xf>
    <xf numFmtId="0" fontId="6" fillId="8" borderId="9" xfId="0" applyFont="1" applyFill="1" applyBorder="1" applyAlignment="1" applyProtection="1">
      <alignment horizontal="left" vertical="center" wrapText="1"/>
      <protection locked="0"/>
    </xf>
    <xf numFmtId="0" fontId="6" fillId="8" borderId="8"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0" fontId="6" fillId="8" borderId="13"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164" fontId="11" fillId="8" borderId="2" xfId="0" applyNumberFormat="1" applyFont="1" applyFill="1" applyBorder="1" applyAlignment="1" applyProtection="1">
      <alignment horizontal="left" vertical="center" wrapText="1"/>
      <protection locked="0"/>
    </xf>
    <xf numFmtId="164" fontId="11" fillId="8" borderId="3" xfId="0" applyNumberFormat="1" applyFont="1" applyFill="1" applyBorder="1" applyAlignment="1" applyProtection="1">
      <alignment horizontal="left" vertical="center" wrapText="1"/>
      <protection locked="0"/>
    </xf>
    <xf numFmtId="164" fontId="11" fillId="8" borderId="4" xfId="0" applyNumberFormat="1"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wrapText="1"/>
      <protection locked="0"/>
    </xf>
    <xf numFmtId="0" fontId="11" fillId="8" borderId="3" xfId="0" applyFont="1" applyFill="1" applyBorder="1" applyAlignment="1" applyProtection="1">
      <alignment horizontal="left" vertical="center" wrapText="1"/>
      <protection locked="0"/>
    </xf>
    <xf numFmtId="0" fontId="11" fillId="8" borderId="4" xfId="0"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protection locked="0"/>
    </xf>
    <xf numFmtId="0" fontId="11" fillId="8" borderId="3" xfId="0" applyFont="1" applyFill="1" applyBorder="1" applyAlignment="1" applyProtection="1">
      <alignment horizontal="left" vertical="center"/>
      <protection locked="0"/>
    </xf>
    <xf numFmtId="0" fontId="11" fillId="8" borderId="4" xfId="0" applyFont="1" applyFill="1" applyBorder="1" applyAlignment="1" applyProtection="1">
      <alignment horizontal="left" vertical="center"/>
      <protection locked="0"/>
    </xf>
    <xf numFmtId="0" fontId="9" fillId="9" borderId="1" xfId="0" applyFont="1" applyFill="1" applyBorder="1" applyAlignment="1" applyProtection="1">
      <alignment horizontal="center" vertical="center" textRotation="90" wrapText="1"/>
    </xf>
    <xf numFmtId="0" fontId="11" fillId="8" borderId="1" xfId="0" applyFont="1" applyFill="1" applyBorder="1" applyAlignment="1" applyProtection="1">
      <alignment horizontal="center" vertical="center" wrapText="1"/>
      <protection locked="0"/>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10" xfId="0" applyFont="1" applyBorder="1" applyAlignment="1" applyProtection="1">
      <alignment horizontal="center"/>
    </xf>
    <xf numFmtId="0" fontId="7" fillId="0" borderId="7"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7" fillId="0" borderId="11" xfId="0" applyFont="1" applyBorder="1" applyAlignment="1" applyProtection="1">
      <alignment horizontal="center"/>
    </xf>
    <xf numFmtId="0" fontId="7" fillId="0" borderId="13" xfId="0" applyFont="1" applyBorder="1" applyAlignment="1" applyProtection="1">
      <alignment horizontal="center"/>
    </xf>
    <xf numFmtId="0" fontId="7" fillId="0" borderId="12" xfId="0" applyFont="1" applyBorder="1" applyAlignment="1" applyProtection="1">
      <alignment horizontal="center"/>
    </xf>
    <xf numFmtId="0" fontId="26" fillId="8" borderId="9" xfId="0" applyFont="1" applyFill="1" applyBorder="1" applyAlignment="1">
      <alignment horizontal="center" vertical="center" wrapText="1"/>
    </xf>
    <xf numFmtId="0" fontId="31" fillId="8" borderId="8" xfId="0" applyFont="1" applyFill="1" applyBorder="1" applyAlignment="1">
      <alignment horizontal="center" vertical="center"/>
    </xf>
    <xf numFmtId="0" fontId="31" fillId="8" borderId="10" xfId="0" applyFont="1" applyFill="1" applyBorder="1" applyAlignment="1">
      <alignment horizontal="center" vertical="center"/>
    </xf>
    <xf numFmtId="0" fontId="31" fillId="8" borderId="7" xfId="0" applyFont="1" applyFill="1" applyBorder="1" applyAlignment="1">
      <alignment horizontal="center" vertical="center"/>
    </xf>
    <xf numFmtId="0" fontId="31" fillId="8" borderId="0" xfId="0" applyFont="1" applyFill="1" applyBorder="1" applyAlignment="1">
      <alignment horizontal="center" vertical="center"/>
    </xf>
    <xf numFmtId="0" fontId="31" fillId="8" borderId="6" xfId="0" applyFont="1" applyFill="1" applyBorder="1" applyAlignment="1">
      <alignment horizontal="center" vertical="center"/>
    </xf>
    <xf numFmtId="0" fontId="31" fillId="8" borderId="11" xfId="0" applyFont="1" applyFill="1" applyBorder="1" applyAlignment="1">
      <alignment horizontal="center" vertical="center"/>
    </xf>
    <xf numFmtId="0" fontId="31" fillId="8" borderId="13" xfId="0" applyFont="1" applyFill="1" applyBorder="1" applyAlignment="1">
      <alignment horizontal="center" vertical="center"/>
    </xf>
    <xf numFmtId="0" fontId="31" fillId="8" borderId="12" xfId="0" applyFont="1" applyFill="1" applyBorder="1" applyAlignment="1">
      <alignment horizontal="center" vertical="center"/>
    </xf>
    <xf numFmtId="0" fontId="12" fillId="10" borderId="2" xfId="0" applyFont="1" applyFill="1" applyBorder="1" applyAlignment="1" applyProtection="1">
      <alignment horizontal="center" vertical="center"/>
    </xf>
    <xf numFmtId="0" fontId="12" fillId="10" borderId="3" xfId="0" applyFont="1" applyFill="1" applyBorder="1" applyAlignment="1" applyProtection="1">
      <alignment horizontal="center" vertical="center"/>
    </xf>
    <xf numFmtId="0" fontId="12" fillId="10" borderId="4" xfId="0" applyFont="1" applyFill="1" applyBorder="1" applyAlignment="1" applyProtection="1">
      <alignment horizontal="center" vertical="center"/>
    </xf>
    <xf numFmtId="0" fontId="9" fillId="9" borderId="2" xfId="0" applyFont="1" applyFill="1" applyBorder="1" applyAlignment="1" applyProtection="1">
      <alignment horizontal="left" vertical="center" wrapText="1"/>
    </xf>
    <xf numFmtId="0" fontId="9" fillId="9" borderId="3" xfId="0" applyFont="1" applyFill="1" applyBorder="1" applyAlignment="1" applyProtection="1">
      <alignment horizontal="left" vertical="center" wrapText="1"/>
    </xf>
    <xf numFmtId="0" fontId="9" fillId="9" borderId="4" xfId="0" applyFont="1" applyFill="1" applyBorder="1" applyAlignment="1" applyProtection="1">
      <alignment horizontal="left" vertical="center" wrapText="1"/>
    </xf>
    <xf numFmtId="0" fontId="12" fillId="10" borderId="2" xfId="0" applyFont="1" applyFill="1" applyBorder="1" applyAlignment="1" applyProtection="1">
      <alignment horizontal="left" vertical="center"/>
    </xf>
    <xf numFmtId="0" fontId="12" fillId="10" borderId="4" xfId="0" applyFont="1" applyFill="1" applyBorder="1" applyAlignment="1" applyProtection="1">
      <alignment horizontal="left" vertical="center"/>
    </xf>
    <xf numFmtId="0" fontId="10" fillId="10" borderId="2" xfId="3" applyFont="1" applyFill="1" applyBorder="1" applyAlignment="1" applyProtection="1">
      <alignment horizontal="left" vertical="center"/>
    </xf>
    <xf numFmtId="0" fontId="10" fillId="10" borderId="4" xfId="0" applyFont="1" applyFill="1" applyBorder="1" applyAlignment="1" applyProtection="1">
      <alignment horizontal="left" vertical="center"/>
    </xf>
    <xf numFmtId="168" fontId="11" fillId="8" borderId="1" xfId="0" applyNumberFormat="1" applyFont="1" applyFill="1" applyBorder="1" applyAlignment="1" applyProtection="1">
      <alignment horizontal="left" vertical="center"/>
      <protection locked="0"/>
    </xf>
    <xf numFmtId="0" fontId="12" fillId="10" borderId="3" xfId="0" applyFont="1" applyFill="1" applyBorder="1" applyAlignment="1" applyProtection="1">
      <alignment horizontal="center" vertical="center" wrapText="1"/>
    </xf>
    <xf numFmtId="0" fontId="24" fillId="7" borderId="1" xfId="0" quotePrefix="1" applyFont="1" applyFill="1" applyBorder="1" applyAlignment="1" applyProtection="1">
      <alignment horizontal="left" vertical="center" wrapText="1" indent="1"/>
    </xf>
    <xf numFmtId="0" fontId="36" fillId="10" borderId="1" xfId="0" applyFont="1" applyFill="1" applyBorder="1" applyAlignment="1">
      <alignment horizontal="center" vertical="center"/>
    </xf>
    <xf numFmtId="0" fontId="19" fillId="0" borderId="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35" fillId="9" borderId="2" xfId="0" applyFont="1" applyFill="1" applyBorder="1" applyAlignment="1">
      <alignment horizontal="center"/>
    </xf>
    <xf numFmtId="0" fontId="35" fillId="9" borderId="3" xfId="0" applyFont="1" applyFill="1" applyBorder="1" applyAlignment="1">
      <alignment horizontal="center"/>
    </xf>
    <xf numFmtId="0" fontId="35" fillId="9" borderId="4" xfId="0" applyFont="1" applyFill="1" applyBorder="1" applyAlignment="1">
      <alignment horizontal="center"/>
    </xf>
    <xf numFmtId="0" fontId="35" fillId="9" borderId="14" xfId="0" applyFont="1" applyFill="1" applyBorder="1" applyAlignment="1">
      <alignment horizontal="center" vertical="center" wrapText="1"/>
    </xf>
    <xf numFmtId="0" fontId="35" fillId="9" borderId="5" xfId="0" applyFont="1" applyFill="1" applyBorder="1" applyAlignment="1">
      <alignment horizontal="center" vertical="center" wrapText="1"/>
    </xf>
    <xf numFmtId="0" fontId="19" fillId="0" borderId="2"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quotePrefix="1" applyBorder="1" applyAlignment="1">
      <alignment horizontal="center" wrapText="1"/>
    </xf>
    <xf numFmtId="0" fontId="4" fillId="9" borderId="2" xfId="0" applyFont="1" applyFill="1" applyBorder="1" applyAlignment="1">
      <alignment horizontal="center"/>
    </xf>
    <xf numFmtId="0" fontId="4" fillId="9" borderId="3" xfId="0" applyFont="1" applyFill="1" applyBorder="1" applyAlignment="1">
      <alignment horizontal="center"/>
    </xf>
    <xf numFmtId="0" fontId="4" fillId="9" borderId="4" xfId="0" applyFont="1" applyFill="1" applyBorder="1" applyAlignment="1">
      <alignment horizontal="center"/>
    </xf>
    <xf numFmtId="0" fontId="14" fillId="0" borderId="1" xfId="0" applyFont="1" applyBorder="1" applyAlignment="1">
      <alignment horizontal="center" vertical="center" wrapText="1"/>
    </xf>
    <xf numFmtId="0" fontId="21" fillId="18" borderId="1" xfId="0" applyFont="1" applyFill="1" applyBorder="1" applyAlignment="1">
      <alignment horizontal="center" vertical="center"/>
    </xf>
    <xf numFmtId="0" fontId="2" fillId="2" borderId="7" xfId="0" applyFont="1" applyFill="1" applyBorder="1" applyAlignment="1">
      <alignment horizontal="left"/>
    </xf>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6" xfId="0" applyFont="1" applyFill="1" applyBorder="1" applyAlignment="1">
      <alignment horizontal="center"/>
    </xf>
    <xf numFmtId="0" fontId="14" fillId="15" borderId="1" xfId="0" applyFont="1" applyFill="1" applyBorder="1" applyAlignment="1">
      <alignment horizontal="center" vertical="center" wrapText="1"/>
    </xf>
    <xf numFmtId="0" fontId="0" fillId="0" borderId="1" xfId="0" applyBorder="1" applyAlignment="1">
      <alignment horizontal="left" vertical="center" wrapText="1" indent="1"/>
    </xf>
  </cellXfs>
  <cellStyles count="5">
    <cellStyle name="Comma" xfId="1" builtinId="3"/>
    <cellStyle name="Currency" xfId="4" builtinId="4"/>
    <cellStyle name="Hyperlink" xfId="3" builtinId="8"/>
    <cellStyle name="Normal" xfId="0" builtinId="0"/>
    <cellStyle name="Percent" xfId="2" builtinId="5"/>
  </cellStyles>
  <dxfs count="166">
    <dxf>
      <fill>
        <patternFill>
          <bgColor rgb="FF92D050"/>
        </patternFill>
      </fill>
    </dxf>
    <dxf>
      <numFmt numFmtId="0" formatCode="General"/>
    </dxf>
    <dxf>
      <numFmt numFmtId="0" formatCode="General"/>
    </dxf>
    <dxf>
      <numFmt numFmtId="170" formatCode="00"/>
    </dxf>
    <dxf>
      <numFmt numFmtId="0" formatCode="General"/>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70" formatCode="00"/>
      <alignment horizontal="right"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fill>
        <patternFill patternType="solid">
          <fgColor indexed="64"/>
          <bgColor rgb="FFFFFF00"/>
        </patternFill>
      </fill>
      <alignment horizontal="center" vertical="top" textRotation="0" wrapText="0" indent="0" justifyLastLine="0" shrinkToFit="0" readingOrder="0"/>
    </dxf>
    <dxf>
      <numFmt numFmtId="0" formatCode="General"/>
      <fill>
        <patternFill patternType="solid">
          <fgColor indexed="64"/>
          <bgColor rgb="FFFFFF00"/>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64" formatCode="yyyy/mm/dd"/>
    </dxf>
    <dxf>
      <numFmt numFmtId="164" formatCode="yyyy/mm/dd"/>
    </dxf>
    <dxf>
      <font>
        <b val="0"/>
        <i val="0"/>
        <strike val="0"/>
        <condense val="0"/>
        <extend val="0"/>
        <outline val="0"/>
        <shadow val="0"/>
        <u val="none"/>
        <vertAlign val="baseline"/>
        <sz val="11"/>
        <color theme="1"/>
        <name val="Calibri"/>
        <scheme val="minor"/>
      </font>
    </dxf>
    <dxf>
      <numFmt numFmtId="35" formatCode="_-* #,##0.00_-;\-* #,##0.00_-;_-* &quot;-&quot;??_-;_-@_-"/>
    </dxf>
    <dxf>
      <numFmt numFmtId="164" formatCode="yyyy/mm/dd"/>
    </dxf>
    <dxf>
      <numFmt numFmtId="164" formatCode="yyyy/mm/dd"/>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64" formatCode="yyyy/mm/dd"/>
      <alignment horizontal="center" vertical="top" textRotation="0" wrapText="0" indent="0" justifyLastLine="0" shrinkToFit="0" readingOrder="0"/>
    </dxf>
    <dxf>
      <numFmt numFmtId="164" formatCode="yyyy/mm/dd"/>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indent="0" justifyLastLine="0" shrinkToFit="0" readingOrder="0"/>
    </dxf>
    <dxf>
      <alignment horizontal="center" vertical="top" textRotation="0"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sz val="8"/>
        <color theme="1"/>
        <name val="Calibri"/>
        <scheme val="minor"/>
      </font>
      <numFmt numFmtId="0" formatCode="General"/>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65"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70" formatCode="00"/>
      <alignment horizontal="left" vertical="top" textRotation="0" wrapText="1" indent="0" justifyLastLine="0" shrinkToFit="0" readingOrder="0"/>
    </dxf>
    <dxf>
      <numFmt numFmtId="170" formatCode="00"/>
      <alignment horizontal="left" vertical="top" textRotation="0" wrapText="1" indent="0" justifyLastLine="0" shrinkToFit="0" readingOrder="0"/>
    </dxf>
    <dxf>
      <numFmt numFmtId="170" formatCode="00"/>
      <alignment horizontal="left" vertical="top" textRotation="0" wrapText="1" indent="0" justifyLastLine="0" shrinkToFit="0" readingOrder="0"/>
    </dxf>
    <dxf>
      <numFmt numFmtId="165" formatCode="0000"/>
      <alignment horizontal="left" vertical="top" textRotation="0" wrapText="1" indent="0" justifyLastLine="0" shrinkToFit="0" readingOrder="0"/>
    </dxf>
    <dxf>
      <numFmt numFmtId="165"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theme="0" tint="-0.249977111117893"/>
        </patternFill>
      </fill>
      <alignment horizontal="left" vertical="bottom" textRotation="0" wrapText="0" indent="2"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FFFF00"/>
        </patternFill>
      </fill>
      <alignment horizontal="center" vertical="bottom" textRotation="45" wrapText="0" indent="0" justifyLastLine="0" shrinkToFit="0" readingOrder="0"/>
      <border diagonalUp="0" diagonalDown="0" outline="0">
        <left style="thin">
          <color indexed="64"/>
        </left>
        <right style="thin">
          <color indexed="64"/>
        </right>
        <top/>
        <bottom/>
      </border>
    </dxf>
    <dxf>
      <fill>
        <patternFill>
          <bgColor theme="6" tint="0.39994506668294322"/>
        </patternFill>
      </fill>
    </dxf>
    <dxf>
      <font>
        <b/>
        <i val="0"/>
        <strike val="0"/>
      </font>
      <fill>
        <patternFill>
          <bgColor theme="6"/>
        </patternFill>
      </fill>
    </dxf>
    <dxf>
      <fill>
        <patternFill>
          <bgColor theme="6" tint="0.39994506668294322"/>
        </patternFill>
      </fill>
    </dxf>
    <dxf>
      <fill>
        <patternFill>
          <bgColor rgb="FFFF4343"/>
        </patternFill>
      </fill>
    </dxf>
    <dxf>
      <fill>
        <patternFill>
          <bgColor rgb="FFFFFF99"/>
        </patternFill>
      </fill>
    </dxf>
    <dxf>
      <fill>
        <patternFill>
          <bgColor rgb="FFFF4B4B"/>
        </patternFill>
      </fill>
    </dxf>
    <dxf>
      <fill>
        <patternFill patternType="lightVertical"/>
      </fill>
    </dxf>
    <dxf>
      <fill>
        <patternFill patternType="lightVertical"/>
      </fill>
    </dxf>
    <dxf>
      <fill>
        <patternFill patternType="lightVertical"/>
      </fill>
    </dxf>
    <dxf>
      <fill>
        <patternFill>
          <bgColor rgb="FFFFFF99"/>
        </patternFill>
      </fill>
    </dxf>
    <dxf>
      <font>
        <color theme="1" tint="0.34998626667073579"/>
      </font>
      <fill>
        <patternFill patternType="lightVertical">
          <fgColor auto="1"/>
        </patternFill>
      </fill>
    </dxf>
    <dxf>
      <fill>
        <patternFill>
          <bgColor rgb="FFFF4343"/>
        </patternFill>
      </fill>
    </dxf>
    <dxf>
      <font>
        <color theme="1" tint="0.34998626667073579"/>
      </font>
      <fill>
        <patternFill patternType="lightVertical">
          <fgColor auto="1"/>
          <bgColor theme="0"/>
        </patternFill>
      </fill>
    </dxf>
    <dxf>
      <font>
        <color theme="0" tint="-0.14996795556505021"/>
      </font>
      <fill>
        <patternFill patternType="solid">
          <fgColor auto="1"/>
          <bgColor theme="0"/>
        </patternFill>
      </fill>
    </dxf>
    <dxf>
      <border>
        <top style="double">
          <color theme="1"/>
        </top>
      </border>
    </dxf>
    <dxf>
      <font>
        <b/>
        <color theme="0"/>
      </font>
      <fill>
        <patternFill patternType="solid">
          <fgColor theme="4"/>
          <bgColor theme="8" tint="-0.24994659260841701"/>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border>
        <top style="double">
          <color theme="1"/>
        </top>
      </border>
    </dxf>
    <dxf>
      <font>
        <b/>
        <color theme="0"/>
      </font>
      <fill>
        <patternFill patternType="solid">
          <fgColor theme="4"/>
          <bgColor theme="4"/>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font>
        <b/>
        <i val="0"/>
        <color theme="0"/>
      </font>
      <fill>
        <patternFill>
          <bgColor theme="1" tint="0.24994659260841701"/>
        </patternFill>
      </fill>
    </dxf>
    <dxf>
      <font>
        <b/>
        <color theme="1"/>
      </font>
      <border>
        <top style="double">
          <color theme="1"/>
        </top>
      </border>
    </dxf>
    <dxf>
      <font>
        <b/>
        <color theme="0"/>
      </font>
      <fill>
        <patternFill patternType="solid">
          <fgColor theme="1"/>
          <bgColor theme="1" tint="0.24994659260841701"/>
        </patternFill>
      </fill>
    </dxf>
    <dxf>
      <font>
        <color theme="1"/>
      </font>
      <border>
        <left style="thin">
          <color theme="1"/>
        </left>
        <right style="thin">
          <color theme="1"/>
        </right>
        <top style="thin">
          <color theme="1"/>
        </top>
        <bottom style="thin">
          <color theme="1"/>
        </bottom>
        <vertical style="thin">
          <color theme="1"/>
        </vertical>
        <horizontal style="thin">
          <color theme="1"/>
        </horizontal>
      </border>
    </dxf>
  </dxfs>
  <tableStyles count="3" defaultTableStyle="TableStyleMedium2" defaultPivotStyle="PivotStyleMedium9">
    <tableStyle name="TableStyleLight8 2" pivot="0" count="4">
      <tableStyleElement type="wholeTable" dxfId="165"/>
      <tableStyleElement type="headerRow" dxfId="164"/>
      <tableStyleElement type="totalRow" dxfId="163"/>
      <tableStyleElement type="firstColumn" dxfId="162"/>
    </tableStyle>
    <tableStyle name="TableStyleMedium16 2" pivot="0" count="3">
      <tableStyleElement type="wholeTable" dxfId="161"/>
      <tableStyleElement type="headerRow" dxfId="160"/>
      <tableStyleElement type="totalRow" dxfId="159"/>
    </tableStyle>
    <tableStyle name="TableStyleMedium16 2 2" pivot="0" count="3">
      <tableStyleElement type="wholeTable" dxfId="158"/>
      <tableStyleElement type="headerRow" dxfId="157"/>
      <tableStyleElement type="totalRow" dxfId="156"/>
    </tableStyle>
  </tableStyles>
  <colors>
    <mruColors>
      <color rgb="FFFFB300"/>
      <color rgb="FF061A49"/>
      <color rgb="FFFF4343"/>
      <color rgb="FFFFFFFF"/>
      <color rgb="FFFFFF99"/>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5</xdr:row>
      <xdr:rowOff>304800</xdr:rowOff>
    </xdr:from>
    <xdr:to>
      <xdr:col>2</xdr:col>
      <xdr:colOff>636893</xdr:colOff>
      <xdr:row>8</xdr:row>
      <xdr:rowOff>97800</xdr:rowOff>
    </xdr:to>
    <xdr:pic>
      <xdr:nvPicPr>
        <xdr:cNvPr id="6" name="Picture 5"/>
        <xdr:cNvPicPr>
          <a:picLocks noChangeAspect="1"/>
        </xdr:cNvPicPr>
      </xdr:nvPicPr>
      <xdr:blipFill>
        <a:blip xmlns:r="http://schemas.openxmlformats.org/officeDocument/2006/relationships" r:embed="rId1"/>
        <a:stretch>
          <a:fillRect/>
        </a:stretch>
      </xdr:blipFill>
      <xdr:spPr>
        <a:xfrm>
          <a:off x="133351" y="1543050"/>
          <a:ext cx="1960867" cy="936000"/>
        </a:xfrm>
        <a:prstGeom prst="rect">
          <a:avLst/>
        </a:prstGeom>
      </xdr:spPr>
    </xdr:pic>
    <xdr:clientData/>
  </xdr:twoCellAnchor>
</xdr:wsDr>
</file>

<file path=xl/tables/table1.xml><?xml version="1.0" encoding="utf-8"?>
<table xmlns="http://schemas.openxmlformats.org/spreadsheetml/2006/main" id="24" name="Table_KMMatrix" displayName="Table_KMMatrix" ref="A13:H80" totalsRowShown="0" headerRowDxfId="141" dataDxfId="139" headerRowBorderDxfId="140" tableBorderDxfId="138" totalsRowBorderDxfId="137">
  <autoFilter ref="A13:H80"/>
  <tableColumns count="8">
    <tableColumn id="1" name="Community" dataDxfId="136"/>
    <tableColumn id="2" name="Hamilton" dataDxfId="135"/>
    <tableColumn id="3" name="Kingston" dataDxfId="134"/>
    <tableColumn id="4" name="London" dataDxfId="133"/>
    <tableColumn id="5" name="Ottawa" dataDxfId="132"/>
    <tableColumn id="6" name="Sudbury " dataDxfId="131"/>
    <tableColumn id="7" name="Thunder Bay" dataDxfId="130"/>
    <tableColumn id="8" name="Toronto" dataDxfId="129"/>
  </tableColumns>
  <tableStyleInfo showFirstColumn="0" showLastColumn="0" showRowStripes="1" showColumnStripes="0"/>
</table>
</file>

<file path=xl/tables/table10.xml><?xml version="1.0" encoding="utf-8"?>
<table xmlns="http://schemas.openxmlformats.org/spreadsheetml/2006/main" id="11" name="Table_YesNo" displayName="Table_YesNo" ref="AH6:AH9" totalsRowShown="0" headerRowDxfId="70" dataDxfId="69">
  <autoFilter ref="AH6:AH9"/>
  <tableColumns count="1">
    <tableColumn id="1" name="YesNo" dataDxfId="68"/>
  </tableColumns>
  <tableStyleInfo name="TableStyleMedium16 2" showFirstColumn="0" showLastColumn="0" showRowStripes="1" showColumnStripes="0"/>
</table>
</file>

<file path=xl/tables/table11.xml><?xml version="1.0" encoding="utf-8"?>
<table xmlns="http://schemas.openxmlformats.org/spreadsheetml/2006/main" id="12" name="Table_ClaimType" displayName="Table_ClaimType" ref="AJ6:AK10" totalsRowShown="0" headerRowDxfId="67" dataDxfId="66">
  <autoFilter ref="AJ6:AK10"/>
  <tableColumns count="2">
    <tableColumn id="1" name="Claim Type" dataDxfId="65"/>
    <tableColumn id="2" name="Advance Amount Available" dataDxfId="64"/>
  </tableColumns>
  <tableStyleInfo name="TableStyleMedium16 2" showFirstColumn="0" showLastColumn="0" showRowStripes="1" showColumnStripes="0"/>
</table>
</file>

<file path=xl/tables/table12.xml><?xml version="1.0" encoding="utf-8"?>
<table xmlns="http://schemas.openxmlformats.org/spreadsheetml/2006/main" id="15" name="Table_PayeeType" displayName="Table_PayeeType" ref="Y6:AA12" totalsRowShown="0" headerRowDxfId="63" dataDxfId="62">
  <autoFilter ref="Y6:AA12"/>
  <tableColumns count="3">
    <tableColumn id="1" name="Payee Type" dataDxfId="61"/>
    <tableColumn id="2" name="Mileage Reimbursement Rate" dataDxfId="60">
      <calculatedColumnFormula>DefaultMileageRate</calculatedColumnFormula>
    </tableColumn>
    <tableColumn id="3" name="ClaimDetails Available" dataDxfId="59"/>
  </tableColumns>
  <tableStyleInfo name="TableStyleMedium16 2" showFirstColumn="0" showLastColumn="0" showRowStripes="1" showColumnStripes="0"/>
</table>
</file>

<file path=xl/tables/table13.xml><?xml version="1.0" encoding="utf-8"?>
<table xmlns="http://schemas.openxmlformats.org/spreadsheetml/2006/main" id="16" name="Table_SubmittingPortfolio" displayName="Table_SubmittingPortfolio" ref="AC6:AC15" totalsRowShown="0" headerRowDxfId="58" dataDxfId="57">
  <autoFilter ref="AC6:AC15"/>
  <tableColumns count="1">
    <tableColumn id="1" name="Submitting Portfolio" dataDxfId="56"/>
  </tableColumns>
  <tableStyleInfo name="TableStyleMedium16 2" showFirstColumn="0" showLastColumn="0" showRowStripes="1" showColumnStripes="0"/>
</table>
</file>

<file path=xl/tables/table14.xml><?xml version="1.0" encoding="utf-8"?>
<table xmlns="http://schemas.openxmlformats.org/spreadsheetml/2006/main" id="1" name="Table_MealDateDuplicates" displayName="Table_MealDateDuplicates" ref="AV6:AZ16" totalsRowShown="0" headerRowDxfId="55" dataDxfId="54">
  <autoFilter ref="AV6:AZ16"/>
  <tableColumns count="5">
    <tableColumn id="1" name="MealDates" dataDxfId="53">
      <calculatedColumnFormula>IF(INDEX(Meal_DatesArray,ROWS($AV$7:AV7),1)=0,"",INDEX(Meal_DatesArray,ROWS($AV$7:AV7)))</calculatedColumnFormula>
    </tableColumn>
    <tableColumn id="2" name="EQUALS MODE" dataDxfId="52" dataCellStyle="Comma">
      <calculatedColumnFormula>Table_MealDateDuplicates[[#This Row],[MealDates]]=$AV$4</calculatedColumnFormula>
    </tableColumn>
    <tableColumn id="4" name="Line" dataDxfId="51" dataCellStyle="Comma"/>
    <tableColumn id="3" name="INDEX" dataDxfId="50">
      <calculatedColumnFormula>IF(Table_MealDateDuplicates[[#This Row],[EQUALS MODE]]=TRUE,CELL("address",INDEX(Meal_DatesArray,Table_MealDateDuplicates[[#This Row],[Line]],1)),"")</calculatedColumnFormula>
    </tableColumn>
    <tableColumn id="5" name="REF ONLY" dataDxfId="49">
      <calculatedColumnFormula>IFERROR(MID(Table_MealDateDuplicates[[#This Row],[INDEX]],FIND("$",Table_MealDateDuplicates[[#This Row],[INDEX]]),LEN(Table_MealDateDuplicates[[#This Row],[INDEX]])-FIND("$",Table_MealDateDuplicates[[#This Row],[INDEX]])+1),"")</calculatedColumnFormula>
    </tableColumn>
  </tableColumns>
  <tableStyleInfo name="TableStyleMedium16 2" showFirstColumn="0" showLastColumn="0" showRowStripes="1" showColumnStripes="0"/>
</table>
</file>

<file path=xl/tables/table15.xml><?xml version="1.0" encoding="utf-8"?>
<table xmlns="http://schemas.openxmlformats.org/spreadsheetml/2006/main" id="18" name="Table_Provinces" displayName="Table_Provinces" ref="Q6:R21" totalsRowShown="0">
  <autoFilter ref="Q6:R21"/>
  <tableColumns count="2">
    <tableColumn id="1" name="Province"/>
    <tableColumn id="2" name="Abbr"/>
  </tableColumns>
  <tableStyleInfo name="TableStyleMedium16 2" showFirstColumn="0" showLastColumn="0" showRowStripes="1" showColumnStripes="0"/>
</table>
</file>

<file path=xl/tables/table16.xml><?xml version="1.0" encoding="utf-8"?>
<table xmlns="http://schemas.openxmlformats.org/spreadsheetml/2006/main" id="19" name="Table_Conference" displayName="Table_Conference" ref="AM6:AN9" totalsRowShown="0" headerRowDxfId="48" dataDxfId="47">
  <autoFilter ref="AM6:AN9"/>
  <tableColumns count="2">
    <tableColumn id="1" name="Purpose" dataDxfId="46">
      <calculatedColumnFormula>Dropdown_NotSelectedValue</calculatedColumnFormula>
    </tableColumn>
    <tableColumn id="2" name="Form Required Available" dataDxfId="45"/>
  </tableColumns>
  <tableStyleInfo name="TableStyleMedium16 2" showFirstColumn="0" showLastColumn="0" showRowStripes="1" showColumnStripes="0"/>
</table>
</file>

<file path=xl/tables/table17.xml><?xml version="1.0" encoding="utf-8"?>
<table xmlns="http://schemas.openxmlformats.org/spreadsheetml/2006/main" id="20" name="Table_Requester" displayName="Table_Requester" ref="AP6:AP9" totalsRowShown="0">
  <autoFilter ref="AP6:AP9"/>
  <tableColumns count="1">
    <tableColumn id="1" name="Requester">
      <calculatedColumnFormula>Dropdown_NotSelectedValue</calculatedColumnFormula>
    </tableColumn>
  </tableColumns>
  <tableStyleInfo name="TableStyleMedium16 2" showFirstColumn="0" showLastColumn="0" showRowStripes="1" showColumnStripes="0"/>
</table>
</file>

<file path=xl/tables/table18.xml><?xml version="1.0" encoding="utf-8"?>
<table xmlns="http://schemas.openxmlformats.org/spreadsheetml/2006/main" id="21" name="Table_ClaimAllocationFund" displayName="Table_ClaimAllocationFund" ref="BB6:BD10" totalsRowShown="0">
  <autoFilter ref="BB6:BD10"/>
  <tableColumns count="3">
    <tableColumn id="4" name="COUNTIF MATCH FUND">
      <calculatedColumnFormula>COUNTIFS(Table_ClaimAllocationFund[ClaimAllocation_Fund],Table_ClaimAllocationFund[[#This Row],[ClaimAllocation_Fund]],Table_ClaimAllocationFund[ISBLANK],FALSE)=COUNTIF(Table_ClaimAllocationFund[ISBLANK],FALSE)</calculatedColumnFormula>
    </tableColumn>
    <tableColumn id="1" name="ClaimAllocation_Fund">
      <calculatedColumnFormula>LEFT(ClaimAllocation_GL1,2)</calculatedColumnFormula>
    </tableColumn>
    <tableColumn id="2" name="ISBLANK">
      <calculatedColumnFormula>LEN(Table_ClaimAllocationFund[[#This Row],[ClaimAllocation_Fund]])=0</calculatedColumnFormula>
    </tableColumn>
  </tableColumns>
  <tableStyleInfo name="TableStyleMedium16 2" showFirstColumn="0" showLastColumn="0" showRowStripes="1" showColumnStripes="0"/>
</table>
</file>

<file path=xl/tables/table19.xml><?xml version="1.0" encoding="utf-8"?>
<table xmlns="http://schemas.openxmlformats.org/spreadsheetml/2006/main" id="27" name="Table_Postal" displayName="Table_Postal" ref="T6:W14" totalsRowShown="0" headerRowDxfId="44" dataDxfId="43">
  <autoFilter ref="T6:W14"/>
  <tableColumns count="4">
    <tableColumn id="1" name="Check #" dataDxfId="42"/>
    <tableColumn id="2" name="Check Name" dataDxfId="41"/>
    <tableColumn id="3" name="Result" dataDxfId="40"/>
    <tableColumn id="4" name="Result (if needed)" dataDxfId="39">
      <calculatedColumnFormula>IF($V$4=TRUE,Table_Postal[[#This Row],[Result]],TRUE)</calculatedColumnFormula>
    </tableColumn>
  </tableColumns>
  <tableStyleInfo name="TableStyleMedium16 2" showFirstColumn="0" showLastColumn="0" showRowStripes="1" showColumnStripes="0"/>
</table>
</file>

<file path=xl/tables/table2.xml><?xml version="1.0" encoding="utf-8"?>
<table xmlns="http://schemas.openxmlformats.org/spreadsheetml/2006/main" id="13" name="Table_ErrorList" displayName="Table_ErrorList" ref="A6:V184" totalsRowShown="0" headerRowDxfId="128" dataDxfId="127">
  <autoFilter ref="A6:V184"/>
  <sortState ref="A7:V171">
    <sortCondition ref="D6:D171"/>
  </sortState>
  <tableColumns count="22">
    <tableColumn id="2" name="Error Evaluation" dataDxfId="126">
      <calculatedColumnFormula>OR(ISBLANK(Table_ErrorList[[#This Row],[Relevant Cell Value]]),Table_ErrorList[[#This Row],[Relevant Cell Value]]=Dropdown_NotSelectedValue,Table_ErrorList[[#This Row],[Relevant Cell Value]]=0)</calculatedColumnFormula>
    </tableColumn>
    <tableColumn id="12" name="Relevant Cell Value" dataDxfId="125">
      <calculatedColumnFormula>IFERROR(INDIRECT(Table_ErrorList[[#This Row],[Attention To Named Range]]),"Error")</calculatedColumnFormula>
    </tableColumn>
    <tableColumn id="1" name="Hierarchy (Original)" dataDxfId="124"/>
    <tableColumn id="21" name="Hierarchy" dataDxfId="123">
      <calculatedColumnFormula>IF(Table_ErrorList[[#This Row],[Manual Hierarchy]]="",CONCATENATE(TEXT(Table_ErrorList[[#This Row],[Section '#]],"00"),"-",TEXT(COUNTIF($E7:OFFSET(Table_ErrorList[[#Headers],[Section '#]],1,0,1,1),Table_ErrorList[[#This Row],[Section '#]]),"000")),Table_ErrorList[[#This Row],[Manual Hierarchy]])</calculatedColumnFormula>
    </tableColumn>
    <tableColumn id="19" name="Section #" dataDxfId="122"/>
    <tableColumn id="20" name="Section Name" dataDxfId="121">
      <calculatedColumnFormula>IFERROR(VLOOKUP(Table_ErrorList[[#This Row],[Section '#]],Table_SectionNames[],MATCH(Table_SectionNames[[#Headers],[Name]],Table_SectionNames[#Headers],0),FALSE),"Not found")</calculatedColumnFormula>
    </tableColumn>
    <tableColumn id="22" name="Manual Hierarchy" dataDxfId="120"/>
    <tableColumn id="7" name="Attention To Reference Type (Formula)" dataDxfId="119">
      <calculatedColumnFormula>IFERROR(VLOOKUP(Table_ErrorList[[#This Row],[Attention To Named Range]],Table_NamedRanges[],MATCH(Table_NamedRanges[[#Headers],[Reference Type]],Table_NamedRanges[#Headers],0),FALSE),"Error")</calculatedColumnFormula>
    </tableColumn>
    <tableColumn id="10" name="Attention To Named Range" dataDxfId="118"/>
    <tableColumn id="11" name="Used Reference" dataDxfId="117">
      <calculatedColumnFormula>IF(Table_ErrorList[[#This Row],[Manual Reference]]="",Table_ErrorList[[#This Row],[''Attention To'' Refence]],Table_ErrorList[[#This Row],[Manual Reference]])&amp;","</calculatedColumnFormula>
    </tableColumn>
    <tableColumn id="15" name="'Attention To' Refence" dataDxfId="116">
      <calculatedColumnFormula>SUBSTITUTE(SUBSTITUTE(VLOOKUP(Table_ErrorList[[#This Row],[Attention To Named Range]],Table_NamedRanges[],MATCH(Table_NamedRanges[[#Headers],[Reference Text]],Table_NamedRanges[#Headers],0),FALSE),"=",""),"'Travel Expense Summary'!","")</calculatedColumnFormula>
    </tableColumn>
    <tableColumn id="14" name="Manual Reference" dataDxfId="115"/>
    <tableColumn id="9" name="Description" dataDxfId="114"/>
    <tableColumn id="3" name="Message Bar Display" dataDxfId="113"/>
    <tableColumn id="4" name="Message Bar Colour" dataDxfId="112"/>
    <tableColumn id="5" name="Details Explanation (Line #1)" dataDxfId="111"/>
    <tableColumn id="8" name="Details Explanation (Line #2)" dataDxfId="110"/>
    <tableColumn id="13" name="Details Combined" dataDxfId="109">
      <calculatedColumnFormula>CONCATENATE(Table_ErrorList[[#This Row],[Details Explanation (Line '#1)]],IF(Table_ErrorList[[#This Row],[Details Explanation (Line '#2)]]&lt;&gt;"",CHAR(10)&amp;Table_ErrorList[[#This Row],[Details Explanation (Line '#2)]],""))</calculatedColumnFormula>
    </tableColumn>
    <tableColumn id="6" name="Field Details Colour" dataDxfId="108"/>
    <tableColumn id="16" name="Message Bar Length" dataDxfId="107">
      <calculatedColumnFormula>IF(LEN(Table_ErrorList[[#This Row],[Message Bar Display]])&gt;$U$5,"Too Long, Characters = "&amp;LEN(Table_ErrorList[[#This Row],[Message Bar Display]])," ")</calculatedColumnFormula>
    </tableColumn>
    <tableColumn id="17" name="Details 1 Length" dataDxfId="106">
      <calculatedColumnFormula>IF(LEN(Table_ErrorList[[#This Row],[Details Explanation (Line '#1)]])&gt;$U$5,"Too Long, Characters = "&amp;LEN(Table_ErrorList[[#This Row],[Details Explanation (Line '#1)]])," ")</calculatedColumnFormula>
    </tableColumn>
    <tableColumn id="18" name="Details 2 Length" dataDxfId="105">
      <calculatedColumnFormula>IF(LEN(Table_ErrorList[[#This Row],[Details Explanation (Line '#2)]])&gt;$U$5,"Too Long, Characters = "&amp;LEN(Table_ErrorList[[#This Row],[Details Explanation (Line '#2)]])," ")</calculatedColumnFormula>
    </tableColumn>
  </tableColumns>
  <tableStyleInfo name="TableStyleMedium16 2 2" showFirstColumn="0" showLastColumn="0" showRowStripes="1" showColumnStripes="0"/>
</table>
</file>

<file path=xl/tables/table20.xml><?xml version="1.0" encoding="utf-8"?>
<table xmlns="http://schemas.openxmlformats.org/spreadsheetml/2006/main" id="17" name="Table_KMCommunity" displayName="Table_KMCommunity" ref="B6:B74" totalsRowShown="0" headerRowDxfId="38" dataDxfId="37">
  <autoFilter ref="B6:B74"/>
  <tableColumns count="1">
    <tableColumn id="1" name="Community" dataDxfId="36"/>
  </tableColumns>
  <tableStyleInfo name="TableStyleMedium16 2" showFirstColumn="0" showLastColumn="0" showRowStripes="1" showColumnStripes="0"/>
</table>
</file>

<file path=xl/tables/table21.xml><?xml version="1.0" encoding="utf-8"?>
<table xmlns="http://schemas.openxmlformats.org/spreadsheetml/2006/main" id="25" name="Table_KMCentre" displayName="Table_KMCentre" ref="D6:D14" totalsRowShown="0" headerRowDxfId="35" dataDxfId="34">
  <autoFilter ref="D6:D14"/>
  <tableColumns count="1">
    <tableColumn id="1" name="Community" dataDxfId="33"/>
  </tableColumns>
  <tableStyleInfo name="TableStyleMedium16 2" showFirstColumn="0" showLastColumn="0" showRowStripes="1" showColumnStripes="0"/>
</table>
</file>

<file path=xl/tables/table22.xml><?xml version="1.0" encoding="utf-8"?>
<table xmlns="http://schemas.openxmlformats.org/spreadsheetml/2006/main" id="2" name="Table_MealMax" displayName="Table_MealMax" ref="B5:D8" totalsRowShown="0" headerRowDxfId="32" dataDxfId="31">
  <autoFilter ref="B5:D8"/>
  <tableColumns count="3">
    <tableColumn id="1" name="Meal Initial" dataDxfId="30"/>
    <tableColumn id="2" name="Meal Name" dataDxfId="29"/>
    <tableColumn id="3" name="Meal Maximum" dataDxfId="28" dataCellStyle="Comma"/>
  </tableColumns>
  <tableStyleInfo name="TableStyleMedium16 2" showFirstColumn="0" showLastColumn="0" showRowStripes="1" showColumnStripes="0"/>
</table>
</file>

<file path=xl/tables/table23.xml><?xml version="1.0" encoding="utf-8"?>
<table xmlns="http://schemas.openxmlformats.org/spreadsheetml/2006/main" id="4" name="Table_Expenses" displayName="Table_Expenses" ref="B5:M25" totalsRowShown="0" headerRowDxfId="27" dataDxfId="26">
  <autoFilter ref="B5:M25"/>
  <sortState ref="B6:M22">
    <sortCondition ref="C5:C22"/>
  </sortState>
  <tableColumns count="12">
    <tableColumn id="3" name="Expense" dataDxfId="25">
      <calculatedColumnFormula>Table_Expenses[[#This Row],[Class]]&amp;"-"&amp;Table_Expenses[[#This Row],[Expenses]]</calculatedColumnFormula>
    </tableColumn>
    <tableColumn id="12" name="Hierarchy" dataDxfId="24"/>
    <tableColumn id="1" name="Expenses" dataDxfId="23"/>
    <tableColumn id="2" name="Class" dataDxfId="22"/>
    <tableColumn id="11" name="Summary Pot #" dataDxfId="21"/>
    <tableColumn id="6" name="Summary Pot" dataDxfId="20">
      <calculatedColumnFormula>VLOOKUP(Table_Expenses[[#This Row],[Summary Pot '#]],Table_SummaryPots[],MATCH(Table_SummaryPots[[#Headers],[Summary Pots]],Table_SummaryPots[#Headers],0),FALSE)</calculatedColumnFormula>
    </tableColumn>
    <tableColumn id="4" name="Receipt or Mileage" dataDxfId="19"/>
    <tableColumn id="5" name="DescriptionRequired" dataDxfId="18"/>
    <tableColumn id="7" name="FromRequired" dataDxfId="17"/>
    <tableColumn id="8" name="ToRequired" dataDxfId="16"/>
    <tableColumn id="9" name="ReceiptRequired" dataDxfId="15">
      <calculatedColumnFormula>IF(Table_Expenses[[#This Row],[Receipt or Mileage]]="Receipt",TRUE,FALSE)</calculatedColumnFormula>
    </tableColumn>
    <tableColumn id="10" name="KMRequired" dataDxfId="14">
      <calculatedColumnFormula>NOT(Table_Expenses[[#This Row],[ReceiptRequired]])</calculatedColumnFormula>
    </tableColumn>
  </tableColumns>
  <tableStyleInfo name="TableStyleMedium16 2" showFirstColumn="0" showLastColumn="0" showRowStripes="1" showColumnStripes="0"/>
</table>
</file>

<file path=xl/tables/table24.xml><?xml version="1.0" encoding="utf-8"?>
<table xmlns="http://schemas.openxmlformats.org/spreadsheetml/2006/main" id="9" name="Table_SummaryPots" displayName="Table_SummaryPots" ref="B28:D31" totalsRowShown="0">
  <autoFilter ref="B28:D31"/>
  <tableColumns count="3">
    <tableColumn id="1" name="Pot #"/>
    <tableColumn id="2" name="Summary Pots"/>
    <tableColumn id="3" name="SUM" dataCellStyle="Currency"/>
  </tableColumns>
  <tableStyleInfo name="TableStyleMedium16 2 2" showFirstColumn="0" showLastColumn="0" showRowStripes="1" showColumnStripes="0"/>
</table>
</file>

<file path=xl/tables/table25.xml><?xml version="1.0" encoding="utf-8"?>
<table xmlns="http://schemas.openxmlformats.org/spreadsheetml/2006/main" id="26" name="Table26" displayName="Table26" ref="B38:F49" totalsRowShown="0">
  <autoFilter ref="B38:F49"/>
  <tableColumns count="5">
    <tableColumn id="1" name="Row"/>
    <tableColumn id="2" name="HideReceipt">
      <calculatedColumnFormula>IFERROR(VLOOKUP(INDEX(Other_ExpenseTypeArray,$B39,1),Table_Expenses[],MATCH(Table_Expenses[[#Headers],[ReceiptRequired]],Table_Expenses[#Headers],0),FALSE)=FALSE,FALSE)</calculatedColumnFormula>
    </tableColumn>
    <tableColumn id="3" name="HideKM" dataDxfId="13">
      <calculatedColumnFormula>IFERROR(VLOOKUP(INDEX(Other_ExpenseTypeArray,$B39,1),Table_Expenses[],MATCH(Table_Expenses[[#Headers],[KMRequired]],Table_Expenses[#Headers],0),FALSE)=FALSE,FALSE)</calculatedColumnFormula>
    </tableColumn>
    <tableColumn id="4" name="ReceiptReference" dataDxfId="12">
      <calculatedColumnFormula>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calculatedColumnFormula>
    </tableColumn>
    <tableColumn id="5" name="KMReferences" dataDxfId="11">
      <calculatedColumnFormula>IF(Table26[[#This Row],[HideKM]]=TRUE,
MID(CELL("address",OFFSET(INDEX(Other_KMArray,1,1),Table26[[#This Row],[Row]]-1,0)),
FIND("$",CELL("address",OFFSET(INDEX(Other_KMArray,1,1),Table26[[#This Row],[Row]]-1,0)),1),
LEN(CELL("address",OFFSET(INDEX(Other_KMArray,1,1),Table26[[#This Row],[Row]]-1,0)))-FIND("$",CELL("address",OFFSET(INDEX(Other_KMArray,1,1),Table26[[#This Row],[Row]]-1,0)),1)+1)&amp;",",
"")</calculatedColumnFormula>
    </tableColumn>
  </tableColumns>
  <tableStyleInfo name="TableStyleMedium16 2 2" showFirstColumn="0" showLastColumn="0" showRowStripes="1" showColumnStripes="0"/>
</table>
</file>

<file path=xl/tables/table26.xml><?xml version="1.0" encoding="utf-8"?>
<table xmlns="http://schemas.openxmlformats.org/spreadsheetml/2006/main" id="22" name="Table_SectionNames" displayName="Table_SectionNames" ref="B5:E22" totalsRowShown="0" headerRowDxfId="10" dataDxfId="9">
  <autoFilter ref="B5:E22"/>
  <sortState ref="B4:E16">
    <sortCondition ref="B3:B16"/>
  </sortState>
  <tableColumns count="4">
    <tableColumn id="2" name="Section #" dataDxfId="8"/>
    <tableColumn id="3" name="Name" dataDxfId="7"/>
    <tableColumn id="5" name="Include #?" dataDxfId="6"/>
    <tableColumn id="4" name="Section Header" dataDxfId="5">
      <calculatedColumnFormula>CONCATENATE(IF(Table_SectionNames[[#This Row],[Include '#?]]=FALSE,"",TEXT(Table_SectionNames[[#This Row],[Section '#]],"#. ")),Table_SectionNames[[#This Row],[Name]])</calculatedColumnFormula>
    </tableColumn>
  </tableColumns>
  <tableStyleInfo name="TableStyleMedium16 2 2" showFirstColumn="0" showLastColumn="0" showRowStripes="1" showColumnStripes="0"/>
</table>
</file>

<file path=xl/tables/table27.xml><?xml version="1.0" encoding="utf-8"?>
<table xmlns="http://schemas.openxmlformats.org/spreadsheetml/2006/main" id="23" name="Table_ClaimStatus" displayName="Table_ClaimStatus" ref="B28:G43" totalsRowShown="0">
  <autoFilter ref="B28:G43"/>
  <tableColumns count="6">
    <tableColumn id="1" name="Calculation" dataDxfId="4">
      <calculatedColumnFormula>COUNTIFS(Table_ErrorList[Error Evaluation],TRUE,Table_ErrorList[Section '#],Table_ClaimStatus[[#This Row],[Section '#]])&gt;0</calculatedColumnFormula>
    </tableColumn>
    <tableColumn id="2" name="Description"/>
    <tableColumn id="3" name="Section #" dataDxfId="3"/>
    <tableColumn id="4" name="Message" dataDxfId="2">
      <calculatedColumnFormula>IF(Table_ClaimStatus[[#This Row],[Manual Message]]="",CONCATENATE("Section ",VLOOKUP(Table_ClaimStatus[[#This Row],[Section '#]],Table_SectionNames[],MATCH(Table_SectionNames[[#Headers],[Section Header]],Table_SectionNames[#Headers],0))," in progress"),Table_ClaimStatus[[#This Row],[Manual Message]])</calculatedColumnFormula>
    </tableColumn>
    <tableColumn id="6" name="Manual Message" dataDxfId="1"/>
    <tableColumn id="5" name="COLOUR ON"/>
  </tableColumns>
  <tableStyleInfo name="TableStyleMedium16 2 2" showFirstColumn="0" showLastColumn="0" showRowStripes="1" showColumnStripes="0"/>
</table>
</file>

<file path=xl/tables/table3.xml><?xml version="1.0" encoding="utf-8"?>
<table xmlns="http://schemas.openxmlformats.org/spreadsheetml/2006/main" id="14" name="Table_NamedRanges" displayName="Table_NamedRanges" ref="B3:K217" totalsRowShown="0" dataDxfId="104">
  <autoFilter ref="B3:K217"/>
  <tableColumns count="10">
    <tableColumn id="1" name="Named Range Paste" dataDxfId="103"/>
    <tableColumn id="2" name="Reference Paste" dataDxfId="102"/>
    <tableColumn id="11" name="Value" dataDxfId="101">
      <calculatedColumnFormula>IFERROR(INDIRECT(Table_NamedRanges[[#This Row],[Named Range Paste]]),"Undefined/Error")</calculatedColumnFormula>
    </tableColumn>
    <tableColumn id="3" name="Reference Text" dataDxfId="100">
      <calculatedColumnFormula>Table_NamedRanges[[#This Row],[Reference Paste]]</calculatedColumnFormula>
    </tableColumn>
    <tableColumn id="8" name="Used in Error List" dataDxfId="99">
      <calculatedColumnFormula>ISERROR(VLOOKUP(Table_NamedRanges[[#This Row],[Named Range Paste]],OFFSET(INDEX(Table_ErrorList[],1,1),0,MATCH(Table_ErrorList[[#Headers],[Attention To Named Range]],Table_ErrorList[#Headers],0)-1,ROWS(Table_ErrorList[]),1),1,FALSE))=FALSE</calculatedColumnFormula>
    </tableColumn>
    <tableColumn id="6" name="Starts with '" dataDxfId="98">
      <calculatedColumnFormula>MID(Table_NamedRanges[[#This Row],[Reference Text]],2,1)="'"</calculatedColumnFormula>
    </tableColumn>
    <tableColumn id="5" name="Count of Colon &quot;:&quot;" dataDxfId="97">
      <calculatedColumnFormula>(LEN(Table_NamedRanges[[#This Row],[Reference Text]])-LEN(SUBSTITUTE(Table_NamedRanges[[#This Row],[Reference Text]],":","")))/LEN(":")</calculatedColumnFormula>
    </tableColumn>
    <tableColumn id="4" name="Square Bracket?" dataDxfId="96">
      <calculatedColumnFormula>OR(ISERROR(FIND("[",Table_NamedRanges[[#This Row],[Reference Text]],1))=FALSE,ISERROR(FIND("]",Table_NamedRanges[[#This Row],[Reference Text]],1))=FALSE)</calculatedColumnFormula>
    </tableColumn>
    <tableColumn id="10" name="Count of &quot;,&quot;" dataDxfId="95">
      <calculatedColumnFormula>(LEN(Table_NamedRanges[[#This Row],[Reference Text]])-LEN(SUBSTITUTE(Table_NamedRanges[[#This Row],[Reference Text]],",","")))/LEN(",")</calculatedColumnFormula>
    </tableColumn>
    <tableColumn id="7" name="Reference Type" dataDxfId="94">
      <calculatedColumnFormula>IF(Table_NamedRanges[[#This Row],[Starts with '']]=FALSE,"Other",IF(AND(Table_NamedRanges[[#This Row],[Count of Colon ":"]]=0,Table_NamedRanges[[#This Row],[Count of ","]]=0),"Single Cell",IF(Table_NamedRanges[[#This Row],[Count of Colon ":"]]=1,"Single Range", "Multiple (Cell or Range)")))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_Dates" displayName="Table_Dates" ref="C6:E66" totalsRowShown="0" headerRowDxfId="93" dataDxfId="92">
  <autoFilter ref="C6:E66"/>
  <tableColumns count="3">
    <tableColumn id="1" name="Day #" dataDxfId="91"/>
    <tableColumn id="2" name="Travel End Date Available" dataDxfId="90">
      <calculatedColumnFormula>IF(Field15_TravelStartDate="","",Field15_TravelStartDate+Table_Dates[[#This Row],[Day '#]]-1)</calculatedColumnFormula>
    </tableColumn>
    <tableColumn id="3" name="Receipt Date Available" dataDxfId="89">
      <calculatedColumnFormula>IF(AND(Field15_TravelStartDate&lt;=Table_Dates[[#This Row],[Travel End Date Available]],Field16_TravelEndDate&gt;=Table_Dates[[#This Row],[Travel End Date Available]]),Table_Dates[[#This Row],[Travel End Date Available]],"XXXX")</calculatedColumnFormula>
    </tableColumn>
  </tableColumns>
  <tableStyleInfo name="TableStyleMedium16 2" showFirstColumn="0" showLastColumn="0" showRowStripes="1" showColumnStripes="0"/>
</table>
</file>

<file path=xl/tables/table5.xml><?xml version="1.0" encoding="utf-8"?>
<table xmlns="http://schemas.openxmlformats.org/spreadsheetml/2006/main" id="5" name="Table_TripType" displayName="Table_TripType" ref="G6:G9" totalsRowShown="0" headerRowDxfId="88" dataDxfId="87">
  <autoFilter ref="G6:G9"/>
  <tableColumns count="1">
    <tableColumn id="1" name="Trip Type" dataDxfId="86"/>
  </tableColumns>
  <tableStyleInfo name="TableStyleMedium16 2" showFirstColumn="0" showLastColumn="0" showRowStripes="1" showColumnStripes="0"/>
</table>
</file>

<file path=xl/tables/table6.xml><?xml version="1.0" encoding="utf-8"?>
<table xmlns="http://schemas.openxmlformats.org/spreadsheetml/2006/main" id="6" name="Table_Prefix" displayName="Table_Prefix" ref="I6:I10" totalsRowShown="0" headerRowDxfId="85" dataDxfId="84">
  <autoFilter ref="I6:I10"/>
  <tableColumns count="1">
    <tableColumn id="1" name="Prefix" dataDxfId="83"/>
  </tableColumns>
  <tableStyleInfo name="TableStyleMedium16 2" showFirstColumn="0" showLastColumn="0" showRowStripes="1" showColumnStripes="0"/>
</table>
</file>

<file path=xl/tables/table7.xml><?xml version="1.0" encoding="utf-8"?>
<table xmlns="http://schemas.openxmlformats.org/spreadsheetml/2006/main" id="7" name="Table_PaymentOption" displayName="Table_PaymentOption" ref="K6:M12" totalsRowShown="0" headerRowDxfId="82" dataDxfId="81">
  <autoFilter ref="K6:M12"/>
  <tableColumns count="3">
    <tableColumn id="1" name="Banking Options" dataDxfId="80">
      <calculatedColumnFormula>Table_PaymentOption[[#This Row],[Top]]&amp;IF(Table_PaymentOption[[#This Row],[Bottom]]&lt;&gt;"",CHAR(10)&amp;Table_PaymentOption[[#This Row],[Bottom]],"")</calculatedColumnFormula>
    </tableColumn>
    <tableColumn id="2" name="Top" dataDxfId="79"/>
    <tableColumn id="3" name="Bottom" dataDxfId="78"/>
  </tableColumns>
  <tableStyleInfo name="TableStyleMedium16 2" showFirstColumn="0" showLastColumn="0" showRowStripes="1" showColumnStripes="0"/>
</table>
</file>

<file path=xl/tables/table8.xml><?xml version="1.0" encoding="utf-8"?>
<table xmlns="http://schemas.openxmlformats.org/spreadsheetml/2006/main" id="8" name="Table_AddressType" displayName="Table_AddressType" ref="O6:O10" totalsRowShown="0" headerRowDxfId="77" dataDxfId="76">
  <autoFilter ref="O6:O10"/>
  <tableColumns count="1">
    <tableColumn id="1" name="Address Type" dataDxfId="75"/>
  </tableColumns>
  <tableStyleInfo name="TableStyleMedium16 2" showFirstColumn="0" showLastColumn="0" showRowStripes="1" showColumnStripes="0"/>
</table>
</file>

<file path=xl/tables/table9.xml><?xml version="1.0" encoding="utf-8"?>
<table xmlns="http://schemas.openxmlformats.org/spreadsheetml/2006/main" id="10" name="Table_Range" displayName="Table_Range" ref="AE6:AF10" totalsRowShown="0" headerRowDxfId="74" dataDxfId="73">
  <autoFilter ref="AE6:AF10"/>
  <tableColumns count="2">
    <tableColumn id="1" name="Range" dataDxfId="72"/>
    <tableColumn id="2" name="HST Calculation" dataDxfId="71"/>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1A49"/>
    <pageSetUpPr fitToPage="1"/>
  </sheetPr>
  <dimension ref="A1:BD98"/>
  <sheetViews>
    <sheetView showGridLines="0" tabSelected="1" workbookViewId="0">
      <pane ySplit="4" topLeftCell="A5" activePane="bottomLeft" state="frozen"/>
      <selection pane="bottomLeft" activeCell="C12" sqref="C12:F12"/>
    </sheetView>
  </sheetViews>
  <sheetFormatPr defaultRowHeight="15" x14ac:dyDescent="0.2"/>
  <cols>
    <col min="1" max="1" width="1.42578125" style="35" customWidth="1"/>
    <col min="2" max="2" width="20.42578125" style="35" customWidth="1"/>
    <col min="3" max="4" width="10" style="35" customWidth="1"/>
    <col min="5" max="5" width="7.140625" style="35" customWidth="1"/>
    <col min="6" max="6" width="12.85546875" style="35" customWidth="1"/>
    <col min="7" max="8" width="5.7109375" style="35" customWidth="1"/>
    <col min="9" max="9" width="4.85546875" style="35" customWidth="1"/>
    <col min="10" max="11" width="10.7109375" style="35" customWidth="1"/>
    <col min="12" max="12" width="14.85546875" style="35" customWidth="1"/>
    <col min="13" max="13" width="7.7109375" style="35" customWidth="1"/>
    <col min="14" max="15" width="5.7109375" style="35" customWidth="1"/>
    <col min="16" max="16" width="7.7109375" style="35" customWidth="1"/>
    <col min="17" max="17" width="5.7109375" style="35" customWidth="1"/>
    <col min="18" max="19" width="10.7109375" style="35" customWidth="1"/>
    <col min="20" max="23" width="5.7109375" style="35" customWidth="1"/>
    <col min="24" max="25" width="10.7109375" style="35" customWidth="1"/>
    <col min="26" max="26" width="11.7109375" style="35" customWidth="1"/>
    <col min="27" max="27" width="1.42578125" style="35" customWidth="1"/>
    <col min="28" max="28" width="9.140625" style="35"/>
    <col min="29" max="29" width="11.85546875" style="35" bestFit="1" customWidth="1"/>
    <col min="30" max="30" width="8" style="35" bestFit="1" customWidth="1"/>
    <col min="31" max="37" width="9.140625" style="35"/>
    <col min="38" max="38" width="9.7109375" style="35" bestFit="1" customWidth="1"/>
    <col min="39" max="39" width="9.28515625" style="35" bestFit="1" customWidth="1"/>
    <col min="40" max="40" width="9.7109375" style="35" bestFit="1" customWidth="1"/>
    <col min="41" max="16384" width="9.140625" style="35"/>
  </cols>
  <sheetData>
    <row r="1" spans="1:56" ht="18.75" customHeight="1" x14ac:dyDescent="0.2">
      <c r="A1" s="217" t="s">
        <v>81</v>
      </c>
      <c r="B1" s="217"/>
      <c r="C1" s="224" t="str">
        <f ca="1">VLOOKUP(TRUE,Table_ErrorList[],MATCH(Table_ErrorList[[#Headers],[Message Bar Display]],Table_ErrorList[#Headers],0),FALSE)</f>
        <v>Enter 'First Name'.</v>
      </c>
      <c r="D1" s="225"/>
      <c r="E1" s="225"/>
      <c r="F1" s="225"/>
      <c r="G1" s="225"/>
      <c r="H1" s="225"/>
      <c r="I1" s="225"/>
      <c r="J1" s="225"/>
      <c r="K1" s="225"/>
      <c r="L1" s="225"/>
      <c r="M1" s="225"/>
      <c r="N1" s="225"/>
      <c r="O1" s="225"/>
      <c r="P1" s="225"/>
      <c r="Q1" s="225"/>
      <c r="R1" s="225"/>
      <c r="S1" s="225"/>
      <c r="T1" s="225"/>
      <c r="U1" s="225"/>
      <c r="V1" s="225"/>
      <c r="W1" s="225"/>
      <c r="X1" s="225"/>
      <c r="Y1" s="225"/>
      <c r="Z1" s="225"/>
      <c r="AA1" s="226"/>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row>
    <row r="2" spans="1:56" ht="18.75" customHeight="1" x14ac:dyDescent="0.2">
      <c r="A2" s="217"/>
      <c r="B2" s="217"/>
      <c r="C2" s="227"/>
      <c r="D2" s="228"/>
      <c r="E2" s="228"/>
      <c r="F2" s="228"/>
      <c r="G2" s="228"/>
      <c r="H2" s="228"/>
      <c r="I2" s="228"/>
      <c r="J2" s="228"/>
      <c r="K2" s="228"/>
      <c r="L2" s="228"/>
      <c r="M2" s="228"/>
      <c r="N2" s="228"/>
      <c r="O2" s="228"/>
      <c r="P2" s="228"/>
      <c r="Q2" s="228"/>
      <c r="R2" s="228"/>
      <c r="S2" s="228"/>
      <c r="T2" s="228"/>
      <c r="U2" s="228"/>
      <c r="V2" s="228"/>
      <c r="W2" s="228"/>
      <c r="X2" s="228"/>
      <c r="Y2" s="228"/>
      <c r="Z2" s="228"/>
      <c r="AA2" s="229"/>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row>
    <row r="3" spans="1:56" ht="22.5" customHeight="1" x14ac:dyDescent="0.2">
      <c r="A3" s="217" t="s">
        <v>180</v>
      </c>
      <c r="B3" s="217"/>
      <c r="C3" s="218" t="str">
        <f ca="1">VLOOKUP(TRUE,Table_ErrorList[],MATCH(Table_ErrorList[[#Headers],[Details Combined]],Table_ErrorList[#Headers],0),FALSE)</f>
        <v xml:space="preserve">This is a free text field with a 40 character limit. </v>
      </c>
      <c r="D3" s="219"/>
      <c r="E3" s="219"/>
      <c r="F3" s="219"/>
      <c r="G3" s="219"/>
      <c r="H3" s="219"/>
      <c r="I3" s="219"/>
      <c r="J3" s="219"/>
      <c r="K3" s="219"/>
      <c r="L3" s="219"/>
      <c r="M3" s="219"/>
      <c r="N3" s="219"/>
      <c r="O3" s="219"/>
      <c r="P3" s="219"/>
      <c r="Q3" s="219"/>
      <c r="R3" s="219"/>
      <c r="S3" s="219"/>
      <c r="T3" s="219"/>
      <c r="U3" s="219"/>
      <c r="V3" s="219"/>
      <c r="W3" s="219"/>
      <c r="X3" s="219"/>
      <c r="Y3" s="219"/>
      <c r="Z3" s="219"/>
      <c r="AA3" s="220"/>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row>
    <row r="4" spans="1:56" ht="22.5" customHeight="1" x14ac:dyDescent="0.2">
      <c r="A4" s="217"/>
      <c r="B4" s="217"/>
      <c r="C4" s="221"/>
      <c r="D4" s="222"/>
      <c r="E4" s="222"/>
      <c r="F4" s="222"/>
      <c r="G4" s="222"/>
      <c r="H4" s="222"/>
      <c r="I4" s="222"/>
      <c r="J4" s="222"/>
      <c r="K4" s="222"/>
      <c r="L4" s="222"/>
      <c r="M4" s="222"/>
      <c r="N4" s="222"/>
      <c r="O4" s="222"/>
      <c r="P4" s="222"/>
      <c r="Q4" s="222"/>
      <c r="R4" s="222"/>
      <c r="S4" s="222"/>
      <c r="T4" s="222"/>
      <c r="U4" s="222"/>
      <c r="V4" s="222"/>
      <c r="W4" s="222"/>
      <c r="X4" s="222"/>
      <c r="Y4" s="222"/>
      <c r="Z4" s="222"/>
      <c r="AA4" s="223"/>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row>
    <row r="5" spans="1:56" ht="15" customHeight="1" x14ac:dyDescent="0.2">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row>
    <row r="6" spans="1:56" ht="30" customHeight="1" x14ac:dyDescent="0.25">
      <c r="A6" s="38"/>
      <c r="B6" s="280" t="s">
        <v>1214</v>
      </c>
      <c r="C6" s="281"/>
      <c r="D6" s="279" t="s">
        <v>397</v>
      </c>
      <c r="E6" s="279"/>
      <c r="F6" s="279"/>
      <c r="G6" s="279"/>
      <c r="H6" s="279"/>
      <c r="I6" s="279"/>
      <c r="J6" s="279"/>
      <c r="K6" s="279"/>
      <c r="L6" s="279"/>
      <c r="M6" s="279"/>
      <c r="N6" s="279"/>
      <c r="O6" s="279"/>
      <c r="P6" s="279"/>
      <c r="Q6" s="39"/>
      <c r="R6" s="319" t="s">
        <v>879</v>
      </c>
      <c r="S6" s="320"/>
      <c r="T6" s="320"/>
      <c r="U6" s="320"/>
      <c r="V6" s="321"/>
      <c r="W6" s="75"/>
      <c r="X6" s="310" t="s">
        <v>64</v>
      </c>
      <c r="Y6" s="311"/>
      <c r="Z6" s="312"/>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row>
    <row r="7" spans="1:56" ht="30" customHeight="1" x14ac:dyDescent="0.25">
      <c r="A7" s="38"/>
      <c r="B7" s="282"/>
      <c r="C7" s="283"/>
      <c r="D7" s="279"/>
      <c r="E7" s="279"/>
      <c r="F7" s="279"/>
      <c r="G7" s="279"/>
      <c r="H7" s="279"/>
      <c r="I7" s="279"/>
      <c r="J7" s="279"/>
      <c r="K7" s="279"/>
      <c r="L7" s="279"/>
      <c r="M7" s="279"/>
      <c r="N7" s="279"/>
      <c r="O7" s="279"/>
      <c r="P7" s="279"/>
      <c r="Q7" s="39"/>
      <c r="R7" s="322"/>
      <c r="S7" s="323"/>
      <c r="T7" s="323"/>
      <c r="U7" s="323"/>
      <c r="V7" s="324"/>
      <c r="W7" s="92"/>
      <c r="X7" s="313"/>
      <c r="Y7" s="314"/>
      <c r="Z7" s="315"/>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row>
    <row r="8" spans="1:56" ht="30" customHeight="1" x14ac:dyDescent="0.25">
      <c r="A8" s="38"/>
      <c r="B8" s="282"/>
      <c r="C8" s="283"/>
      <c r="D8" s="340" t="str">
        <f ca="1">TravelTextDescription</f>
        <v>- - - - - -</v>
      </c>
      <c r="E8" s="340"/>
      <c r="F8" s="340"/>
      <c r="G8" s="340"/>
      <c r="H8" s="340"/>
      <c r="I8" s="340"/>
      <c r="J8" s="340"/>
      <c r="K8" s="340"/>
      <c r="L8" s="340"/>
      <c r="M8" s="340"/>
      <c r="N8" s="340"/>
      <c r="O8" s="340"/>
      <c r="P8" s="340"/>
      <c r="Q8" s="39"/>
      <c r="R8" s="322"/>
      <c r="S8" s="323"/>
      <c r="T8" s="323"/>
      <c r="U8" s="323"/>
      <c r="V8" s="324"/>
      <c r="W8" s="75"/>
      <c r="X8" s="313"/>
      <c r="Y8" s="314"/>
      <c r="Z8" s="315"/>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row>
    <row r="9" spans="1:56" ht="30" customHeight="1" x14ac:dyDescent="0.25">
      <c r="A9" s="38"/>
      <c r="B9" s="284"/>
      <c r="C9" s="285"/>
      <c r="D9" s="340"/>
      <c r="E9" s="340"/>
      <c r="F9" s="340"/>
      <c r="G9" s="340"/>
      <c r="H9" s="340"/>
      <c r="I9" s="340"/>
      <c r="J9" s="340"/>
      <c r="K9" s="340"/>
      <c r="L9" s="340"/>
      <c r="M9" s="340"/>
      <c r="N9" s="340"/>
      <c r="O9" s="340"/>
      <c r="P9" s="340"/>
      <c r="Q9" s="39"/>
      <c r="R9" s="325"/>
      <c r="S9" s="326"/>
      <c r="T9" s="326"/>
      <c r="U9" s="326"/>
      <c r="V9" s="327"/>
      <c r="W9" s="75"/>
      <c r="X9" s="316"/>
      <c r="Y9" s="317"/>
      <c r="Z9" s="318"/>
      <c r="AA9" s="38"/>
      <c r="AB9" s="38"/>
      <c r="AC9" s="38"/>
      <c r="AD9" s="75"/>
      <c r="AE9" s="75"/>
      <c r="AF9" s="75"/>
      <c r="AG9" s="75"/>
      <c r="AH9" s="75"/>
      <c r="AI9" s="75"/>
      <c r="AJ9" s="75"/>
      <c r="AK9" s="75"/>
      <c r="AL9" s="75"/>
      <c r="AM9" s="75"/>
      <c r="AN9" s="75"/>
      <c r="AO9" s="75"/>
      <c r="AP9" s="75"/>
      <c r="AQ9" s="75"/>
      <c r="AR9" s="75"/>
      <c r="AS9" s="75"/>
      <c r="AT9" s="75"/>
      <c r="AU9" s="38"/>
      <c r="AV9" s="38"/>
      <c r="AW9" s="38"/>
      <c r="AX9" s="38"/>
      <c r="AY9" s="38"/>
      <c r="AZ9" s="38"/>
      <c r="BA9" s="38"/>
      <c r="BB9" s="38"/>
      <c r="BC9" s="38"/>
      <c r="BD9" s="38"/>
    </row>
    <row r="10" spans="1:56" ht="15" customHeight="1" x14ac:dyDescent="0.25">
      <c r="A10" s="38"/>
      <c r="B10" s="37"/>
      <c r="C10" s="37"/>
      <c r="D10" s="98"/>
      <c r="E10" s="98"/>
      <c r="F10" s="98"/>
      <c r="G10" s="98"/>
      <c r="H10" s="98"/>
      <c r="I10" s="98"/>
      <c r="J10" s="98"/>
      <c r="K10" s="98"/>
      <c r="L10" s="98"/>
      <c r="M10" s="98"/>
      <c r="N10" s="98"/>
      <c r="O10" s="98"/>
      <c r="P10" s="98"/>
      <c r="Q10" s="37"/>
      <c r="R10" s="37"/>
      <c r="S10" s="37"/>
      <c r="T10" s="37"/>
      <c r="U10" s="37"/>
      <c r="V10" s="37"/>
      <c r="W10" s="37"/>
      <c r="X10" s="37"/>
      <c r="Y10" s="37"/>
      <c r="Z10" s="38"/>
      <c r="AA10" s="38"/>
      <c r="AB10" s="38"/>
      <c r="AC10" s="38"/>
      <c r="AD10" s="75"/>
      <c r="AE10" s="75"/>
      <c r="AF10" s="75"/>
      <c r="AG10" s="75"/>
      <c r="AH10" s="75"/>
      <c r="AI10" s="75"/>
      <c r="AJ10" s="75"/>
      <c r="AK10" s="75"/>
      <c r="AL10" s="75"/>
      <c r="AM10" s="75"/>
      <c r="AN10" s="38"/>
      <c r="AO10" s="38"/>
      <c r="AP10" s="38"/>
      <c r="AQ10" s="38"/>
      <c r="AR10" s="38"/>
      <c r="AS10" s="38"/>
      <c r="AT10" s="38"/>
      <c r="AU10" s="38"/>
      <c r="AV10" s="38"/>
      <c r="AW10" s="38"/>
      <c r="AX10" s="38"/>
      <c r="AY10" s="38"/>
      <c r="AZ10" s="38"/>
      <c r="BA10" s="38"/>
      <c r="BB10" s="38"/>
      <c r="BC10" s="38"/>
      <c r="BD10" s="38"/>
    </row>
    <row r="11" spans="1:56" ht="18.95" customHeight="1" x14ac:dyDescent="0.25">
      <c r="A11" s="38"/>
      <c r="B11" s="166" t="str">
        <f>VLOOKUP(VALUE("01"),Table_SectionNames[],MATCH(Table_SectionNames[[#Headers],[Section Header]],Table_SectionNames[#Headers],0),FALSE)</f>
        <v>1. Payee Details</v>
      </c>
      <c r="C11" s="167"/>
      <c r="D11" s="167"/>
      <c r="E11" s="167"/>
      <c r="F11" s="168"/>
      <c r="G11" s="37"/>
      <c r="H11" s="292" t="str">
        <f>VLOOKUP(VALUE("04"),Table_SectionNames[],MATCH(Table_SectionNames[[#Headers],[Section Header]],Table_SectionNames[#Headers],0),FALSE)</f>
        <v>4. Travel Particulars</v>
      </c>
      <c r="I11" s="292"/>
      <c r="J11" s="292"/>
      <c r="K11" s="292"/>
      <c r="L11" s="292"/>
      <c r="M11" s="292"/>
      <c r="N11" s="39"/>
      <c r="O11" s="260" t="str">
        <f>VLOOKUP(VALUE("06"),Table_SectionNames[],MATCH(Table_SectionNames[[#Headers],[Section Header]],Table_SectionNames[#Headers],0),FALSE)</f>
        <v>6. Meals</v>
      </c>
      <c r="P11" s="177" t="s">
        <v>171</v>
      </c>
      <c r="Q11" s="178"/>
      <c r="R11" s="250" t="s">
        <v>176</v>
      </c>
      <c r="S11" s="339"/>
      <c r="T11" s="339"/>
      <c r="U11" s="251"/>
      <c r="V11" s="236" t="s">
        <v>76</v>
      </c>
      <c r="W11" s="237"/>
      <c r="X11" s="237"/>
      <c r="Y11" s="237"/>
      <c r="Z11" s="175" t="s">
        <v>8</v>
      </c>
      <c r="AA11" s="38"/>
      <c r="AB11" s="38"/>
      <c r="AC11" s="75"/>
      <c r="AD11" s="75"/>
      <c r="AE11" s="75"/>
      <c r="AF11" s="75"/>
      <c r="AG11" s="75"/>
      <c r="AH11" s="75"/>
      <c r="AI11" s="75"/>
      <c r="AJ11" s="75"/>
      <c r="AK11" s="75"/>
      <c r="AL11" s="75"/>
      <c r="AM11" s="75"/>
      <c r="AN11" s="38"/>
      <c r="AO11" s="38"/>
      <c r="AP11" s="38"/>
      <c r="AQ11" s="38"/>
      <c r="AR11" s="38"/>
      <c r="AS11" s="38"/>
      <c r="AT11" s="38"/>
      <c r="AU11" s="38"/>
      <c r="AV11" s="38"/>
      <c r="AW11" s="38"/>
      <c r="AX11" s="38"/>
      <c r="AY11" s="38"/>
      <c r="AZ11" s="38"/>
      <c r="BA11" s="38"/>
      <c r="BB11" s="38"/>
      <c r="BC11" s="38"/>
      <c r="BD11" s="38"/>
    </row>
    <row r="12" spans="1:56" ht="18.95" customHeight="1" x14ac:dyDescent="0.25">
      <c r="A12" s="38"/>
      <c r="B12" s="69" t="s">
        <v>52</v>
      </c>
      <c r="C12" s="263"/>
      <c r="D12" s="264"/>
      <c r="E12" s="264"/>
      <c r="F12" s="265"/>
      <c r="G12" s="37"/>
      <c r="H12" s="328" t="s">
        <v>150</v>
      </c>
      <c r="I12" s="329"/>
      <c r="J12" s="329"/>
      <c r="K12" s="329"/>
      <c r="L12" s="329"/>
      <c r="M12" s="330"/>
      <c r="N12" s="39"/>
      <c r="O12" s="261"/>
      <c r="P12" s="179"/>
      <c r="Q12" s="180"/>
      <c r="R12" s="40" t="s">
        <v>5</v>
      </c>
      <c r="S12" s="40" t="s">
        <v>6</v>
      </c>
      <c r="T12" s="250" t="s">
        <v>7</v>
      </c>
      <c r="U12" s="251"/>
      <c r="V12" s="248" t="s">
        <v>5</v>
      </c>
      <c r="W12" s="249"/>
      <c r="X12" s="90" t="s">
        <v>6</v>
      </c>
      <c r="Y12" s="89" t="s">
        <v>7</v>
      </c>
      <c r="Z12" s="176"/>
      <c r="AA12" s="38"/>
      <c r="AB12" s="38"/>
      <c r="AC12" s="75"/>
      <c r="AD12" s="75"/>
      <c r="AE12" s="75"/>
      <c r="AF12" s="75"/>
      <c r="AG12" s="75"/>
      <c r="AH12" s="75"/>
      <c r="AI12" s="75"/>
      <c r="AJ12" s="75"/>
      <c r="AK12" s="75"/>
      <c r="AL12" s="75"/>
      <c r="AM12" s="75"/>
      <c r="AN12" s="38"/>
      <c r="AO12" s="38"/>
      <c r="AP12" s="38"/>
      <c r="AQ12" s="38"/>
      <c r="AR12" s="38"/>
      <c r="AS12" s="38"/>
      <c r="AT12" s="38"/>
      <c r="AU12" s="38"/>
      <c r="AV12" s="38"/>
      <c r="AW12" s="38"/>
      <c r="AX12" s="38"/>
      <c r="AY12" s="38"/>
      <c r="AZ12" s="38"/>
      <c r="BA12" s="38"/>
      <c r="BB12" s="38"/>
      <c r="BC12" s="38"/>
      <c r="BD12" s="38"/>
    </row>
    <row r="13" spans="1:56" ht="18.95" customHeight="1" x14ac:dyDescent="0.25">
      <c r="A13" s="38"/>
      <c r="B13" s="69" t="s">
        <v>1</v>
      </c>
      <c r="C13" s="241"/>
      <c r="D13" s="242"/>
      <c r="E13" s="242"/>
      <c r="F13" s="243"/>
      <c r="G13" s="37"/>
      <c r="H13" s="193"/>
      <c r="I13" s="194"/>
      <c r="J13" s="194"/>
      <c r="K13" s="194"/>
      <c r="L13" s="194"/>
      <c r="M13" s="195"/>
      <c r="N13" s="39"/>
      <c r="O13" s="261"/>
      <c r="P13" s="173"/>
      <c r="Q13" s="174"/>
      <c r="R13" s="93"/>
      <c r="S13" s="94"/>
      <c r="T13" s="238"/>
      <c r="U13" s="239"/>
      <c r="V13" s="161">
        <f t="shared" ref="V13:V22" si="0">IF($R13&lt;MealMax_Breakfast,ROUND(ABS($R13),2),MealMax_Breakfast)</f>
        <v>0</v>
      </c>
      <c r="W13" s="162"/>
      <c r="X13" s="59">
        <f t="shared" ref="X13:X22" si="1">IF($S13&lt;MealMax_Lunch,ROUND(ABS($S13),2),MealMax_Lunch)</f>
        <v>0</v>
      </c>
      <c r="Y13" s="52">
        <f t="shared" ref="Y13:Y22" si="2">IF($T13&lt;MealMax_Dinner,ROUND(ABS($T13),2),MealMax_Dinner)</f>
        <v>0</v>
      </c>
      <c r="Z13" s="52">
        <f>SUM($V13:$Y13)</f>
        <v>0</v>
      </c>
      <c r="AA13" s="38"/>
      <c r="AB13" s="38"/>
      <c r="AC13" s="128"/>
      <c r="AD13" s="75"/>
      <c r="AE13" s="75"/>
      <c r="AF13" s="75"/>
      <c r="AG13" s="75"/>
      <c r="AH13" s="75"/>
      <c r="AI13" s="75"/>
      <c r="AJ13" s="75"/>
      <c r="AK13" s="75"/>
      <c r="AL13" s="75"/>
      <c r="AM13" s="75"/>
      <c r="AN13" s="38"/>
      <c r="AO13" s="38"/>
      <c r="AP13" s="38"/>
      <c r="AQ13" s="38"/>
      <c r="AR13" s="38"/>
      <c r="AS13" s="38"/>
      <c r="AT13" s="38"/>
      <c r="AU13" s="38"/>
      <c r="AV13" s="38"/>
      <c r="AW13" s="38"/>
      <c r="AX13" s="38"/>
      <c r="AY13" s="38"/>
      <c r="AZ13" s="38"/>
      <c r="BA13" s="38"/>
      <c r="BB13" s="38"/>
      <c r="BC13" s="38"/>
      <c r="BD13" s="38"/>
    </row>
    <row r="14" spans="1:56" ht="18.95" customHeight="1" x14ac:dyDescent="0.25">
      <c r="A14" s="38"/>
      <c r="B14" s="69" t="s">
        <v>0</v>
      </c>
      <c r="C14" s="241"/>
      <c r="D14" s="242"/>
      <c r="E14" s="242"/>
      <c r="F14" s="243"/>
      <c r="G14" s="37"/>
      <c r="H14" s="199"/>
      <c r="I14" s="200"/>
      <c r="J14" s="200"/>
      <c r="K14" s="200"/>
      <c r="L14" s="200"/>
      <c r="M14" s="201"/>
      <c r="N14" s="39"/>
      <c r="O14" s="261"/>
      <c r="P14" s="173"/>
      <c r="Q14" s="174"/>
      <c r="R14" s="95"/>
      <c r="S14" s="95"/>
      <c r="T14" s="238"/>
      <c r="U14" s="239"/>
      <c r="V14" s="161">
        <f t="shared" si="0"/>
        <v>0</v>
      </c>
      <c r="W14" s="162"/>
      <c r="X14" s="59">
        <f t="shared" si="1"/>
        <v>0</v>
      </c>
      <c r="Y14" s="52">
        <f t="shared" si="2"/>
        <v>0</v>
      </c>
      <c r="Z14" s="52">
        <f t="shared" ref="Z14:Z22" si="3">SUM($V14:$Y14)</f>
        <v>0</v>
      </c>
      <c r="AA14" s="38"/>
      <c r="AB14" s="38"/>
      <c r="AC14" s="75"/>
      <c r="AD14" s="75"/>
      <c r="AE14" s="75"/>
      <c r="AF14" s="75"/>
      <c r="AG14" s="75"/>
      <c r="AH14" s="75"/>
      <c r="AI14" s="75"/>
      <c r="AJ14" s="75"/>
      <c r="AK14" s="75"/>
      <c r="AL14" s="75"/>
      <c r="AM14" s="75"/>
      <c r="AN14" s="38"/>
      <c r="AO14" s="38"/>
      <c r="AP14" s="38"/>
      <c r="AQ14" s="38"/>
      <c r="AR14" s="38"/>
      <c r="AS14" s="38"/>
      <c r="AT14" s="38"/>
      <c r="AU14" s="38"/>
      <c r="AV14" s="38"/>
      <c r="AW14" s="38"/>
      <c r="AX14" s="38"/>
      <c r="AY14" s="38"/>
      <c r="AZ14" s="38"/>
      <c r="BA14" s="38"/>
      <c r="BB14" s="38"/>
      <c r="BC14" s="38"/>
      <c r="BD14" s="38"/>
    </row>
    <row r="15" spans="1:56" ht="18.95" customHeight="1" x14ac:dyDescent="0.25">
      <c r="A15" s="38"/>
      <c r="B15" s="69" t="s">
        <v>56</v>
      </c>
      <c r="C15" s="241"/>
      <c r="D15" s="242"/>
      <c r="E15" s="242"/>
      <c r="F15" s="243"/>
      <c r="G15" s="37"/>
      <c r="H15" s="328" t="s">
        <v>398</v>
      </c>
      <c r="I15" s="329"/>
      <c r="J15" s="329"/>
      <c r="K15" s="329"/>
      <c r="L15" s="329"/>
      <c r="M15" s="330"/>
      <c r="N15" s="39"/>
      <c r="O15" s="261"/>
      <c r="P15" s="173"/>
      <c r="Q15" s="174"/>
      <c r="R15" s="95"/>
      <c r="S15" s="95"/>
      <c r="T15" s="238"/>
      <c r="U15" s="239"/>
      <c r="V15" s="161">
        <f t="shared" si="0"/>
        <v>0</v>
      </c>
      <c r="W15" s="162"/>
      <c r="X15" s="59">
        <f t="shared" si="1"/>
        <v>0</v>
      </c>
      <c r="Y15" s="52">
        <f t="shared" si="2"/>
        <v>0</v>
      </c>
      <c r="Z15" s="52">
        <f t="shared" si="3"/>
        <v>0</v>
      </c>
      <c r="AA15" s="38"/>
      <c r="AB15" s="38"/>
      <c r="AC15" s="75"/>
      <c r="AD15" s="75"/>
      <c r="AE15" s="75"/>
      <c r="AF15" s="75"/>
      <c r="AG15" s="75"/>
      <c r="AH15" s="75"/>
      <c r="AI15" s="75"/>
      <c r="AJ15" s="75"/>
      <c r="AK15" s="75"/>
      <c r="AL15" s="75"/>
      <c r="AM15" s="75"/>
      <c r="AN15" s="38"/>
      <c r="AO15" s="38"/>
      <c r="AP15" s="38"/>
      <c r="AQ15" s="38"/>
      <c r="AR15" s="38"/>
      <c r="AS15" s="38"/>
      <c r="AT15" s="38"/>
      <c r="AU15" s="38"/>
      <c r="AV15" s="38"/>
      <c r="AW15" s="38"/>
      <c r="AX15" s="38"/>
      <c r="AY15" s="38"/>
      <c r="AZ15" s="38"/>
      <c r="BA15" s="38"/>
      <c r="BB15" s="38"/>
      <c r="BC15" s="38"/>
      <c r="BD15" s="38"/>
    </row>
    <row r="16" spans="1:56" ht="18.95" customHeight="1" x14ac:dyDescent="0.25">
      <c r="A16" s="38"/>
      <c r="B16" s="69" t="s">
        <v>329</v>
      </c>
      <c r="C16" s="241"/>
      <c r="D16" s="242"/>
      <c r="E16" s="242"/>
      <c r="F16" s="243"/>
      <c r="G16" s="37"/>
      <c r="H16" s="309"/>
      <c r="I16" s="309"/>
      <c r="J16" s="309"/>
      <c r="K16" s="309"/>
      <c r="L16" s="309"/>
      <c r="M16" s="309"/>
      <c r="N16" s="39"/>
      <c r="O16" s="261"/>
      <c r="P16" s="173"/>
      <c r="Q16" s="174"/>
      <c r="R16" s="95"/>
      <c r="S16" s="95"/>
      <c r="T16" s="238"/>
      <c r="U16" s="239"/>
      <c r="V16" s="161">
        <f t="shared" si="0"/>
        <v>0</v>
      </c>
      <c r="W16" s="162"/>
      <c r="X16" s="59">
        <f t="shared" si="1"/>
        <v>0</v>
      </c>
      <c r="Y16" s="52">
        <f t="shared" si="2"/>
        <v>0</v>
      </c>
      <c r="Z16" s="52">
        <f t="shared" si="3"/>
        <v>0</v>
      </c>
      <c r="AA16" s="38"/>
      <c r="AB16" s="38"/>
      <c r="AC16" s="75"/>
      <c r="AD16" s="75"/>
      <c r="AE16" s="75"/>
      <c r="AF16" s="75"/>
      <c r="AG16" s="75"/>
      <c r="AH16" s="75"/>
      <c r="AI16" s="75"/>
      <c r="AJ16" s="75"/>
      <c r="AK16" s="75"/>
      <c r="AL16" s="75"/>
      <c r="AM16" s="75"/>
      <c r="AN16" s="38"/>
      <c r="AO16" s="38"/>
      <c r="AP16" s="38"/>
      <c r="AQ16" s="38"/>
      <c r="AR16" s="38"/>
      <c r="AS16" s="38"/>
      <c r="AT16" s="38"/>
      <c r="AU16" s="38"/>
      <c r="AV16" s="38"/>
      <c r="AW16" s="38"/>
      <c r="AX16" s="38"/>
      <c r="AY16" s="38"/>
      <c r="AZ16" s="38"/>
      <c r="BA16" s="38"/>
      <c r="BB16" s="38"/>
      <c r="BC16" s="38"/>
      <c r="BD16" s="38"/>
    </row>
    <row r="17" spans="1:56" ht="18.95" customHeight="1" x14ac:dyDescent="0.25">
      <c r="A17" s="38"/>
      <c r="B17" s="69" t="s">
        <v>330</v>
      </c>
      <c r="C17" s="241" t="s">
        <v>49</v>
      </c>
      <c r="D17" s="243"/>
      <c r="E17" s="266"/>
      <c r="F17" s="267"/>
      <c r="G17" s="37"/>
      <c r="H17" s="309"/>
      <c r="I17" s="309"/>
      <c r="J17" s="309"/>
      <c r="K17" s="309"/>
      <c r="L17" s="309"/>
      <c r="M17" s="309"/>
      <c r="N17" s="39"/>
      <c r="O17" s="261"/>
      <c r="P17" s="173"/>
      <c r="Q17" s="174"/>
      <c r="R17" s="95"/>
      <c r="S17" s="95"/>
      <c r="T17" s="238"/>
      <c r="U17" s="239"/>
      <c r="V17" s="161">
        <f t="shared" si="0"/>
        <v>0</v>
      </c>
      <c r="W17" s="162"/>
      <c r="X17" s="59">
        <f t="shared" si="1"/>
        <v>0</v>
      </c>
      <c r="Y17" s="52">
        <f t="shared" si="2"/>
        <v>0</v>
      </c>
      <c r="Z17" s="52">
        <f t="shared" si="3"/>
        <v>0</v>
      </c>
      <c r="AA17" s="38"/>
      <c r="AB17" s="38"/>
      <c r="AC17" s="75"/>
      <c r="AD17" s="75"/>
      <c r="AE17" s="75"/>
      <c r="AF17" s="75"/>
      <c r="AG17" s="75"/>
      <c r="AH17" s="75"/>
      <c r="AI17" s="75"/>
      <c r="AJ17" s="75"/>
      <c r="AK17" s="75"/>
      <c r="AL17" s="75"/>
      <c r="AM17" s="75"/>
      <c r="AN17" s="38"/>
      <c r="AO17" s="38"/>
      <c r="AP17" s="38"/>
      <c r="AQ17" s="38"/>
      <c r="AR17" s="38"/>
      <c r="AS17" s="38"/>
      <c r="AT17" s="38"/>
      <c r="AU17" s="38"/>
      <c r="AV17" s="38"/>
      <c r="AW17" s="38"/>
      <c r="AX17" s="38"/>
      <c r="AY17" s="38"/>
      <c r="AZ17" s="38"/>
      <c r="BA17" s="38"/>
      <c r="BB17" s="38"/>
      <c r="BC17" s="38"/>
      <c r="BD17" s="38"/>
    </row>
    <row r="18" spans="1:56" ht="18.95" customHeight="1" x14ac:dyDescent="0.25">
      <c r="A18" s="38"/>
      <c r="B18" s="69" t="s">
        <v>57</v>
      </c>
      <c r="C18" s="263" t="s">
        <v>49</v>
      </c>
      <c r="D18" s="264"/>
      <c r="E18" s="264"/>
      <c r="F18" s="265"/>
      <c r="G18" s="37"/>
      <c r="H18" s="309"/>
      <c r="I18" s="309"/>
      <c r="J18" s="309"/>
      <c r="K18" s="309"/>
      <c r="L18" s="309"/>
      <c r="M18" s="309"/>
      <c r="N18" s="39"/>
      <c r="O18" s="261"/>
      <c r="P18" s="173"/>
      <c r="Q18" s="174"/>
      <c r="R18" s="95"/>
      <c r="S18" s="95"/>
      <c r="T18" s="238"/>
      <c r="U18" s="239"/>
      <c r="V18" s="161">
        <f t="shared" si="0"/>
        <v>0</v>
      </c>
      <c r="W18" s="162"/>
      <c r="X18" s="59">
        <f t="shared" si="1"/>
        <v>0</v>
      </c>
      <c r="Y18" s="52">
        <f t="shared" si="2"/>
        <v>0</v>
      </c>
      <c r="Z18" s="52">
        <f t="shared" si="3"/>
        <v>0</v>
      </c>
      <c r="AA18" s="38"/>
      <c r="AB18" s="38"/>
      <c r="AC18" s="75"/>
      <c r="AD18" s="75"/>
      <c r="AE18" s="75"/>
      <c r="AF18" s="75"/>
      <c r="AG18" s="75"/>
      <c r="AH18" s="75"/>
      <c r="AI18" s="75"/>
      <c r="AJ18" s="75"/>
      <c r="AK18" s="75"/>
      <c r="AL18" s="75"/>
      <c r="AM18" s="75"/>
      <c r="AN18" s="38"/>
      <c r="AO18" s="38"/>
      <c r="AP18" s="38"/>
      <c r="AQ18" s="38"/>
      <c r="AR18" s="38"/>
      <c r="AS18" s="38"/>
      <c r="AT18" s="38"/>
      <c r="AU18" s="38"/>
      <c r="AV18" s="38"/>
      <c r="AW18" s="38"/>
      <c r="AX18" s="38"/>
      <c r="AY18" s="38"/>
      <c r="AZ18" s="38"/>
      <c r="BA18" s="38"/>
      <c r="BB18" s="38"/>
      <c r="BC18" s="38"/>
      <c r="BD18" s="38"/>
    </row>
    <row r="19" spans="1:56" ht="18.95" customHeight="1" x14ac:dyDescent="0.25">
      <c r="A19" s="38"/>
      <c r="B19" s="88" t="str">
        <f>HYPERLINK("mailto:"&amp;Field07B_Email,"Email")</f>
        <v>Email</v>
      </c>
      <c r="C19" s="269"/>
      <c r="D19" s="270"/>
      <c r="E19" s="270"/>
      <c r="F19" s="271"/>
      <c r="G19" s="37"/>
      <c r="H19" s="38"/>
      <c r="I19" s="38"/>
      <c r="J19" s="38"/>
      <c r="K19" s="38"/>
      <c r="L19" s="38"/>
      <c r="M19" s="38"/>
      <c r="N19" s="39"/>
      <c r="O19" s="261"/>
      <c r="P19" s="173"/>
      <c r="Q19" s="174"/>
      <c r="R19" s="95"/>
      <c r="S19" s="95"/>
      <c r="T19" s="238"/>
      <c r="U19" s="239"/>
      <c r="V19" s="161">
        <f t="shared" si="0"/>
        <v>0</v>
      </c>
      <c r="W19" s="162"/>
      <c r="X19" s="59">
        <f t="shared" si="1"/>
        <v>0</v>
      </c>
      <c r="Y19" s="52">
        <f t="shared" si="2"/>
        <v>0</v>
      </c>
      <c r="Z19" s="52">
        <f t="shared" si="3"/>
        <v>0</v>
      </c>
      <c r="AA19" s="38"/>
      <c r="AB19" s="38"/>
      <c r="AC19" s="75"/>
      <c r="AD19" s="75"/>
      <c r="AE19" s="75"/>
      <c r="AF19" s="75"/>
      <c r="AG19" s="75"/>
      <c r="AH19" s="75"/>
      <c r="AI19" s="75"/>
      <c r="AJ19" s="75"/>
      <c r="AK19" s="75"/>
      <c r="AL19" s="75"/>
      <c r="AM19" s="75"/>
      <c r="AN19" s="38"/>
      <c r="AO19" s="38"/>
      <c r="AP19" s="38"/>
      <c r="AQ19" s="38"/>
      <c r="AR19" s="38"/>
      <c r="AS19" s="38"/>
      <c r="AT19" s="38"/>
      <c r="AU19" s="38"/>
      <c r="AV19" s="38"/>
      <c r="AW19" s="38"/>
      <c r="AX19" s="38"/>
      <c r="AY19" s="38"/>
      <c r="AZ19" s="38"/>
      <c r="BA19" s="38"/>
      <c r="BB19" s="38"/>
      <c r="BC19" s="38"/>
      <c r="BD19" s="38"/>
    </row>
    <row r="20" spans="1:56" ht="18.95" customHeight="1" x14ac:dyDescent="0.25">
      <c r="A20" s="38"/>
      <c r="B20" s="69" t="s">
        <v>350</v>
      </c>
      <c r="C20" s="274"/>
      <c r="D20" s="275"/>
      <c r="E20" s="272"/>
      <c r="F20" s="273"/>
      <c r="G20" s="37"/>
      <c r="H20" s="331" t="str">
        <f>VLOOKUP(VALUE("05"),Table_SectionNames[],MATCH(Table_SectionNames[[#Headers],[Section Header]],Table_SectionNames[#Headers],0),FALSE)</f>
        <v>5. Contact (if different than 'Payee')</v>
      </c>
      <c r="I20" s="332"/>
      <c r="J20" s="332"/>
      <c r="K20" s="332"/>
      <c r="L20" s="332"/>
      <c r="M20" s="333"/>
      <c r="N20" s="39"/>
      <c r="O20" s="261"/>
      <c r="P20" s="173"/>
      <c r="Q20" s="174"/>
      <c r="R20" s="95"/>
      <c r="S20" s="95"/>
      <c r="T20" s="238"/>
      <c r="U20" s="239"/>
      <c r="V20" s="161">
        <f t="shared" si="0"/>
        <v>0</v>
      </c>
      <c r="W20" s="162"/>
      <c r="X20" s="59">
        <f t="shared" si="1"/>
        <v>0</v>
      </c>
      <c r="Y20" s="52">
        <f t="shared" si="2"/>
        <v>0</v>
      </c>
      <c r="Z20" s="52">
        <f t="shared" si="3"/>
        <v>0</v>
      </c>
      <c r="AA20" s="38"/>
      <c r="AB20" s="38"/>
      <c r="AC20" s="75"/>
      <c r="AD20" s="75"/>
      <c r="AE20" s="75"/>
      <c r="AF20" s="75"/>
      <c r="AG20" s="75"/>
      <c r="AH20" s="75"/>
      <c r="AI20" s="75"/>
      <c r="AJ20" s="75"/>
      <c r="AK20" s="75"/>
      <c r="AL20" s="75"/>
      <c r="AM20" s="75"/>
      <c r="AN20" s="38"/>
      <c r="AO20" s="38"/>
      <c r="AP20" s="38"/>
      <c r="AQ20" s="38"/>
      <c r="AR20" s="38"/>
      <c r="AS20" s="38"/>
      <c r="AT20" s="38"/>
      <c r="AU20" s="38"/>
      <c r="AV20" s="38"/>
      <c r="AW20" s="38"/>
      <c r="AX20" s="38"/>
      <c r="AY20" s="38"/>
      <c r="AZ20" s="38"/>
      <c r="BA20" s="38"/>
      <c r="BB20" s="38"/>
      <c r="BC20" s="38"/>
      <c r="BD20" s="38"/>
    </row>
    <row r="21" spans="1:56" ht="18.95" customHeight="1" x14ac:dyDescent="0.25">
      <c r="A21" s="38"/>
      <c r="B21" s="69" t="s">
        <v>341</v>
      </c>
      <c r="C21" s="263" t="s">
        <v>49</v>
      </c>
      <c r="D21" s="264"/>
      <c r="E21" s="264"/>
      <c r="F21" s="265"/>
      <c r="G21" s="37"/>
      <c r="H21" s="334" t="s">
        <v>170</v>
      </c>
      <c r="I21" s="335"/>
      <c r="J21" s="278"/>
      <c r="K21" s="278"/>
      <c r="L21" s="278"/>
      <c r="M21" s="278"/>
      <c r="N21" s="39"/>
      <c r="O21" s="261"/>
      <c r="P21" s="173"/>
      <c r="Q21" s="174"/>
      <c r="R21" s="95"/>
      <c r="S21" s="95"/>
      <c r="T21" s="238"/>
      <c r="U21" s="239"/>
      <c r="V21" s="161">
        <f t="shared" si="0"/>
        <v>0</v>
      </c>
      <c r="W21" s="162"/>
      <c r="X21" s="59">
        <f t="shared" si="1"/>
        <v>0</v>
      </c>
      <c r="Y21" s="52">
        <f t="shared" si="2"/>
        <v>0</v>
      </c>
      <c r="Z21" s="52">
        <f t="shared" si="3"/>
        <v>0</v>
      </c>
      <c r="AA21" s="38"/>
      <c r="AB21" s="38"/>
      <c r="AC21" s="99"/>
      <c r="AD21" s="75"/>
      <c r="AE21" s="75"/>
      <c r="AF21" s="75"/>
      <c r="AG21" s="75"/>
      <c r="AH21" s="75"/>
      <c r="AI21" s="75"/>
      <c r="AJ21" s="75"/>
      <c r="AK21" s="75"/>
      <c r="AL21" s="75"/>
      <c r="AM21" s="75"/>
      <c r="AN21" s="38"/>
      <c r="AO21" s="38"/>
      <c r="AP21" s="38"/>
      <c r="AQ21" s="38"/>
      <c r="AR21" s="38"/>
      <c r="AS21" s="38"/>
      <c r="AT21" s="38"/>
      <c r="AU21" s="38"/>
      <c r="AV21" s="38"/>
      <c r="AW21" s="38"/>
      <c r="AX21" s="38"/>
      <c r="AY21" s="38"/>
      <c r="AZ21" s="38"/>
      <c r="BA21" s="38"/>
      <c r="BB21" s="38"/>
      <c r="BC21" s="38"/>
      <c r="BD21" s="38"/>
    </row>
    <row r="22" spans="1:56" ht="18.95" customHeight="1" x14ac:dyDescent="0.25">
      <c r="A22" s="38"/>
      <c r="B22" s="69" t="s">
        <v>118</v>
      </c>
      <c r="C22" s="263" t="s">
        <v>49</v>
      </c>
      <c r="D22" s="264"/>
      <c r="E22" s="264"/>
      <c r="F22" s="265"/>
      <c r="G22" s="37"/>
      <c r="H22" s="336" t="str">
        <f>HYPERLINK("mailto:"&amp;Field24_ContactEmail,"Email")</f>
        <v>Email</v>
      </c>
      <c r="I22" s="337"/>
      <c r="J22" s="278"/>
      <c r="K22" s="278"/>
      <c r="L22" s="278"/>
      <c r="M22" s="278"/>
      <c r="N22" s="39"/>
      <c r="O22" s="261"/>
      <c r="P22" s="173"/>
      <c r="Q22" s="174"/>
      <c r="R22" s="95"/>
      <c r="S22" s="95"/>
      <c r="T22" s="238"/>
      <c r="U22" s="239"/>
      <c r="V22" s="161">
        <f t="shared" si="0"/>
        <v>0</v>
      </c>
      <c r="W22" s="162"/>
      <c r="X22" s="59">
        <f t="shared" si="1"/>
        <v>0</v>
      </c>
      <c r="Y22" s="52">
        <f t="shared" si="2"/>
        <v>0</v>
      </c>
      <c r="Z22" s="52">
        <f t="shared" si="3"/>
        <v>0</v>
      </c>
      <c r="AA22" s="38"/>
      <c r="AB22" s="38"/>
      <c r="AC22" s="75"/>
      <c r="AD22" s="75"/>
      <c r="AE22" s="75"/>
      <c r="AF22" s="75"/>
      <c r="AG22" s="75"/>
      <c r="AH22" s="75"/>
      <c r="AI22" s="75"/>
      <c r="AJ22" s="75"/>
      <c r="AK22" s="75"/>
      <c r="AL22" s="75"/>
      <c r="AM22" s="75"/>
      <c r="AN22" s="38"/>
      <c r="AO22" s="38"/>
      <c r="AP22" s="38"/>
      <c r="AQ22" s="38"/>
      <c r="AR22" s="38"/>
      <c r="AS22" s="38"/>
      <c r="AT22" s="38"/>
      <c r="AU22" s="38"/>
      <c r="AV22" s="38"/>
      <c r="AW22" s="38"/>
      <c r="AX22" s="38"/>
      <c r="AY22" s="38"/>
      <c r="AZ22" s="38"/>
      <c r="BA22" s="38"/>
      <c r="BB22" s="38"/>
      <c r="BC22" s="38"/>
      <c r="BD22" s="38"/>
    </row>
    <row r="23" spans="1:56" ht="18.95" customHeight="1" x14ac:dyDescent="0.25">
      <c r="A23" s="38"/>
      <c r="B23" s="268" t="s">
        <v>181</v>
      </c>
      <c r="C23" s="293" t="s">
        <v>49</v>
      </c>
      <c r="D23" s="294"/>
      <c r="E23" s="294"/>
      <c r="F23" s="295"/>
      <c r="G23" s="37"/>
      <c r="H23" s="334" t="s">
        <v>505</v>
      </c>
      <c r="I23" s="335"/>
      <c r="J23" s="338"/>
      <c r="K23" s="338"/>
      <c r="L23" s="338"/>
      <c r="M23" s="338"/>
      <c r="N23" s="39"/>
      <c r="O23" s="262"/>
      <c r="P23" s="252" t="s">
        <v>175</v>
      </c>
      <c r="Q23" s="253"/>
      <c r="R23" s="253"/>
      <c r="S23" s="253"/>
      <c r="T23" s="253"/>
      <c r="U23" s="253"/>
      <c r="V23" s="253"/>
      <c r="W23" s="253"/>
      <c r="X23" s="253"/>
      <c r="Y23" s="254"/>
      <c r="Z23" s="53">
        <f>SUM($Z$13:$Z$22)</f>
        <v>0</v>
      </c>
      <c r="AA23" s="38"/>
      <c r="AB23" s="38"/>
      <c r="AC23" s="75"/>
      <c r="AD23" s="75"/>
      <c r="AE23" s="75"/>
      <c r="AF23" s="75"/>
      <c r="AG23" s="75"/>
      <c r="AH23" s="75"/>
      <c r="AI23" s="75"/>
      <c r="AJ23" s="75"/>
      <c r="AK23" s="75"/>
      <c r="AL23" s="75"/>
      <c r="AM23" s="75"/>
      <c r="AN23" s="38"/>
      <c r="AO23" s="38"/>
      <c r="AP23" s="38"/>
      <c r="AQ23" s="38"/>
      <c r="AR23" s="38"/>
      <c r="AS23" s="38"/>
      <c r="AT23" s="38"/>
      <c r="AU23" s="38"/>
      <c r="AV23" s="38"/>
      <c r="AW23" s="38"/>
      <c r="AX23" s="38"/>
      <c r="AY23" s="38"/>
      <c r="AZ23" s="38"/>
      <c r="BA23" s="38"/>
      <c r="BB23" s="38"/>
      <c r="BC23" s="38"/>
      <c r="BD23" s="38"/>
    </row>
    <row r="24" spans="1:56" ht="18.95" customHeight="1" x14ac:dyDescent="0.25">
      <c r="A24" s="38"/>
      <c r="B24" s="268"/>
      <c r="C24" s="296"/>
      <c r="D24" s="297"/>
      <c r="E24" s="297"/>
      <c r="F24" s="298"/>
      <c r="G24" s="38"/>
      <c r="H24" s="39"/>
      <c r="I24" s="39"/>
      <c r="J24" s="39"/>
      <c r="K24" s="39"/>
      <c r="L24" s="39"/>
      <c r="M24" s="39"/>
      <c r="N24" s="39"/>
      <c r="O24" s="39"/>
      <c r="P24" s="39"/>
      <c r="Q24" s="39"/>
      <c r="R24" s="39"/>
      <c r="S24" s="39"/>
      <c r="T24" s="39"/>
      <c r="U24" s="39"/>
      <c r="V24" s="39"/>
      <c r="W24" s="39"/>
      <c r="X24" s="39"/>
      <c r="Y24" s="39"/>
      <c r="Z24" s="39"/>
      <c r="AA24" s="38"/>
      <c r="AB24" s="38"/>
      <c r="AC24" s="75"/>
      <c r="AD24" s="75"/>
      <c r="AE24" s="75"/>
      <c r="AF24" s="75"/>
      <c r="AG24" s="75"/>
      <c r="AH24" s="75"/>
      <c r="AI24" s="75"/>
      <c r="AJ24" s="75"/>
      <c r="AK24" s="75"/>
      <c r="AL24" s="75"/>
      <c r="AM24" s="75"/>
      <c r="AN24" s="38"/>
      <c r="AO24" s="38"/>
      <c r="AP24" s="38"/>
      <c r="AQ24" s="38"/>
      <c r="AR24" s="38"/>
      <c r="AS24" s="38"/>
      <c r="AT24" s="38"/>
      <c r="AU24" s="38"/>
      <c r="AV24" s="38"/>
      <c r="AW24" s="38"/>
      <c r="AX24" s="38"/>
      <c r="AY24" s="38"/>
      <c r="AZ24" s="38"/>
      <c r="BA24" s="38"/>
      <c r="BB24" s="38"/>
      <c r="BC24" s="38"/>
      <c r="BD24" s="38"/>
    </row>
    <row r="25" spans="1:56" ht="18.95" customHeight="1" x14ac:dyDescent="0.25">
      <c r="A25" s="38"/>
      <c r="B25" s="38"/>
      <c r="C25" s="38"/>
      <c r="D25" s="38"/>
      <c r="E25" s="38"/>
      <c r="F25" s="38"/>
      <c r="G25" s="38"/>
      <c r="H25" s="308" t="str">
        <f>VLOOKUP(VALUE("07"),Table_SectionNames[],MATCH(Table_SectionNames[[#Headers],[Section Header]],Table_SectionNames[#Headers],0),FALSE)</f>
        <v>7. Other Expenses</v>
      </c>
      <c r="I25" s="177" t="s">
        <v>171</v>
      </c>
      <c r="J25" s="178"/>
      <c r="K25" s="177" t="s">
        <v>68</v>
      </c>
      <c r="L25" s="178"/>
      <c r="M25" s="177" t="s">
        <v>150</v>
      </c>
      <c r="N25" s="190"/>
      <c r="O25" s="190"/>
      <c r="P25" s="190"/>
      <c r="Q25" s="178"/>
      <c r="R25" s="177" t="s">
        <v>320</v>
      </c>
      <c r="S25" s="178"/>
      <c r="T25" s="177" t="s">
        <v>321</v>
      </c>
      <c r="U25" s="190"/>
      <c r="V25" s="190"/>
      <c r="W25" s="178"/>
      <c r="X25" s="181" t="s">
        <v>174</v>
      </c>
      <c r="Y25" s="183" t="str">
        <f>"KMs"&amp;CHAR(10)&amp;
"($"&amp;IFERROR(VLOOKUP(Field09_PayeeType,Table_PayeeType[],2,FALSE),DefaultMileageRate)&amp;"/km)"</f>
        <v>KMs
($0.42/km)</v>
      </c>
      <c r="Z25" s="175" t="s">
        <v>8</v>
      </c>
      <c r="AA25" s="38"/>
      <c r="AB25" s="38"/>
      <c r="AC25" s="75"/>
      <c r="AD25" s="75"/>
      <c r="AE25" s="75"/>
      <c r="AF25" s="75"/>
      <c r="AG25" s="75"/>
      <c r="AH25" s="75"/>
      <c r="AI25" s="75"/>
      <c r="AJ25" s="75"/>
      <c r="AK25" s="75"/>
      <c r="AL25" s="75"/>
      <c r="AM25" s="75"/>
      <c r="AN25" s="38"/>
      <c r="AO25" s="38"/>
      <c r="AP25" s="38"/>
      <c r="AQ25" s="38"/>
      <c r="AR25" s="38"/>
      <c r="AS25" s="38"/>
      <c r="AT25" s="38"/>
      <c r="AU25" s="38"/>
      <c r="AV25" s="38"/>
      <c r="AW25" s="38"/>
      <c r="AX25" s="38"/>
      <c r="AY25" s="38"/>
      <c r="AZ25" s="38"/>
      <c r="BA25" s="38"/>
      <c r="BB25" s="38"/>
      <c r="BC25" s="38"/>
      <c r="BD25" s="38"/>
    </row>
    <row r="26" spans="1:56" ht="18.95" customHeight="1" x14ac:dyDescent="0.25">
      <c r="A26" s="38"/>
      <c r="B26" s="166" t="str">
        <f>VLOOKUP(VALUE("02"),Table_SectionNames[],MATCH(Table_SectionNames[[#Headers],[Section Header]],Table_SectionNames[#Headers],0),FALSE)</f>
        <v>2. Travel Details</v>
      </c>
      <c r="C26" s="167"/>
      <c r="D26" s="167"/>
      <c r="E26" s="167"/>
      <c r="F26" s="168"/>
      <c r="G26" s="38"/>
      <c r="H26" s="308"/>
      <c r="I26" s="179"/>
      <c r="J26" s="180"/>
      <c r="K26" s="179"/>
      <c r="L26" s="180"/>
      <c r="M26" s="179"/>
      <c r="N26" s="191"/>
      <c r="O26" s="191"/>
      <c r="P26" s="191"/>
      <c r="Q26" s="180"/>
      <c r="R26" s="179"/>
      <c r="S26" s="180"/>
      <c r="T26" s="179"/>
      <c r="U26" s="191"/>
      <c r="V26" s="191"/>
      <c r="W26" s="180"/>
      <c r="X26" s="182"/>
      <c r="Y26" s="184"/>
      <c r="Z26" s="176"/>
      <c r="AA26" s="41"/>
      <c r="AB26" s="38"/>
      <c r="AC26" s="38"/>
      <c r="AD26" s="38"/>
      <c r="AE26" s="75"/>
      <c r="AF26" s="75"/>
      <c r="AG26" s="75"/>
      <c r="AH26" s="75"/>
      <c r="AI26" s="75"/>
      <c r="AJ26" s="75"/>
      <c r="AK26" s="75"/>
      <c r="AL26" s="75"/>
      <c r="AM26" s="75"/>
      <c r="AN26" s="38"/>
      <c r="AO26" s="38"/>
      <c r="AP26" s="38"/>
      <c r="AQ26" s="38"/>
      <c r="AR26" s="38"/>
      <c r="AS26" s="38"/>
      <c r="AT26" s="38"/>
      <c r="AU26" s="38"/>
      <c r="AV26" s="38"/>
      <c r="AW26" s="38"/>
      <c r="AX26" s="38"/>
      <c r="AY26" s="38"/>
      <c r="AZ26" s="38"/>
      <c r="BA26" s="38"/>
      <c r="BB26" s="38"/>
      <c r="BC26" s="38"/>
      <c r="BD26" s="38"/>
    </row>
    <row r="27" spans="1:56" ht="18.95" customHeight="1" x14ac:dyDescent="0.25">
      <c r="A27" s="38"/>
      <c r="B27" s="69" t="s">
        <v>2</v>
      </c>
      <c r="C27" s="305"/>
      <c r="D27" s="306"/>
      <c r="E27" s="306"/>
      <c r="F27" s="307"/>
      <c r="G27" s="38"/>
      <c r="H27" s="308"/>
      <c r="I27" s="173"/>
      <c r="J27" s="174"/>
      <c r="K27" s="164"/>
      <c r="L27" s="165"/>
      <c r="M27" s="164"/>
      <c r="N27" s="170"/>
      <c r="O27" s="170"/>
      <c r="P27" s="170"/>
      <c r="Q27" s="165"/>
      <c r="R27" s="164"/>
      <c r="S27" s="165"/>
      <c r="T27" s="164"/>
      <c r="U27" s="170"/>
      <c r="V27" s="170"/>
      <c r="W27" s="165"/>
      <c r="X27" s="96"/>
      <c r="Y27" s="130"/>
      <c r="Z27" s="56">
        <f>IF(IFERROR(VLOOKUP($K27,Table_Expenses[],MATCH(Table_Expenses[[#Headers],[Receipt or Mileage]],Table_Expenses[#Headers],0),FALSE),"Receipt")="Receipt",ROUND($X27,2),ROUND($Y27*IFERROR(VLOOKUP(Field09_PayeeType,Table_PayeeType[],MATCH(Table_PayeeType[[#Headers],[Mileage Reimbursement Rate]],Table_PayeeType[#Headers],0),FALSE),DefaultMileageRate),2))</f>
        <v>0</v>
      </c>
      <c r="AA27" s="41"/>
      <c r="AB27" s="38"/>
      <c r="AC27" s="38"/>
      <c r="AD27" s="38"/>
      <c r="AE27" s="75"/>
      <c r="AF27" s="75"/>
      <c r="AG27" s="75"/>
      <c r="AH27" s="75"/>
      <c r="AI27" s="75"/>
      <c r="AJ27" s="75"/>
      <c r="AK27" s="75"/>
      <c r="AL27" s="75"/>
      <c r="AM27" s="75"/>
      <c r="AN27" s="38"/>
      <c r="AO27" s="38"/>
      <c r="AP27" s="38"/>
      <c r="AQ27" s="38"/>
      <c r="AR27" s="38"/>
      <c r="AS27" s="38"/>
      <c r="AT27" s="38"/>
      <c r="AU27" s="38"/>
      <c r="AV27" s="38"/>
      <c r="AW27" s="38"/>
      <c r="AX27" s="38"/>
      <c r="AY27" s="38"/>
      <c r="AZ27" s="38"/>
      <c r="BA27" s="38"/>
      <c r="BB27" s="38"/>
      <c r="BC27" s="38"/>
      <c r="BD27" s="38"/>
    </row>
    <row r="28" spans="1:56" ht="18.95" customHeight="1" x14ac:dyDescent="0.25">
      <c r="A28" s="38"/>
      <c r="B28" s="69" t="s">
        <v>47</v>
      </c>
      <c r="C28" s="302"/>
      <c r="D28" s="303"/>
      <c r="E28" s="303"/>
      <c r="F28" s="304"/>
      <c r="G28" s="38"/>
      <c r="H28" s="308"/>
      <c r="I28" s="173"/>
      <c r="J28" s="174"/>
      <c r="K28" s="164"/>
      <c r="L28" s="165"/>
      <c r="M28" s="164"/>
      <c r="N28" s="170"/>
      <c r="O28" s="170"/>
      <c r="P28" s="170"/>
      <c r="Q28" s="165"/>
      <c r="R28" s="164"/>
      <c r="S28" s="165"/>
      <c r="T28" s="164"/>
      <c r="U28" s="170"/>
      <c r="V28" s="170"/>
      <c r="W28" s="165"/>
      <c r="X28" s="96"/>
      <c r="Y28" s="130"/>
      <c r="Z28" s="56">
        <f>IF(IFERROR(VLOOKUP($K28,Table_Expenses[],MATCH(Table_Expenses[[#Headers],[Receipt or Mileage]],Table_Expenses[#Headers],0),FALSE),"Receipt")="Receipt",ROUND($X28,2),ROUND($Y28*IFERROR(VLOOKUP(Field09_PayeeType,Table_PayeeType[],MATCH(Table_PayeeType[[#Headers],[Mileage Reimbursement Rate]],Table_PayeeType[#Headers],0),FALSE),DefaultMileageRate),2))</f>
        <v>0</v>
      </c>
      <c r="AA28" s="41"/>
      <c r="AB28" s="38"/>
      <c r="AC28" s="38"/>
      <c r="AD28" s="38"/>
      <c r="AE28" s="75"/>
      <c r="AF28" s="75"/>
      <c r="AG28" s="75"/>
      <c r="AH28" s="75"/>
      <c r="AI28" s="75"/>
      <c r="AJ28" s="75"/>
      <c r="AK28" s="75"/>
      <c r="AL28" s="75"/>
      <c r="AM28" s="75"/>
      <c r="AN28" s="38"/>
      <c r="AO28" s="38"/>
      <c r="AP28" s="38"/>
      <c r="AQ28" s="38"/>
      <c r="AR28" s="38"/>
      <c r="AS28" s="38"/>
      <c r="AT28" s="38"/>
      <c r="AU28" s="38"/>
      <c r="AV28" s="38"/>
      <c r="AW28" s="38"/>
      <c r="AX28" s="38"/>
      <c r="AY28" s="38"/>
      <c r="AZ28" s="38"/>
      <c r="BA28" s="38"/>
      <c r="BB28" s="38"/>
      <c r="BC28" s="38"/>
      <c r="BD28" s="38"/>
    </row>
    <row r="29" spans="1:56" ht="18.95" customHeight="1" x14ac:dyDescent="0.25">
      <c r="A29" s="38"/>
      <c r="B29" s="69" t="s">
        <v>342</v>
      </c>
      <c r="C29" s="302" t="s">
        <v>49</v>
      </c>
      <c r="D29" s="303"/>
      <c r="E29" s="303"/>
      <c r="F29" s="304"/>
      <c r="G29" s="38"/>
      <c r="H29" s="308"/>
      <c r="I29" s="173"/>
      <c r="J29" s="174"/>
      <c r="K29" s="164"/>
      <c r="L29" s="165"/>
      <c r="M29" s="164"/>
      <c r="N29" s="170"/>
      <c r="O29" s="170"/>
      <c r="P29" s="170"/>
      <c r="Q29" s="165"/>
      <c r="R29" s="164"/>
      <c r="S29" s="165"/>
      <c r="T29" s="164"/>
      <c r="U29" s="170"/>
      <c r="V29" s="170"/>
      <c r="W29" s="165"/>
      <c r="X29" s="96"/>
      <c r="Y29" s="130"/>
      <c r="Z29" s="56">
        <f>IF(IFERROR(VLOOKUP($K29,Table_Expenses[],MATCH(Table_Expenses[[#Headers],[Receipt or Mileage]],Table_Expenses[#Headers],0),FALSE),"Receipt")="Receipt",ROUND($X29,2),ROUND($Y29*IFERROR(VLOOKUP(Field09_PayeeType,Table_PayeeType[],MATCH(Table_PayeeType[[#Headers],[Mileage Reimbursement Rate]],Table_PayeeType[#Headers],0),FALSE),DefaultMileageRate),2))</f>
        <v>0</v>
      </c>
      <c r="AA29" s="41"/>
      <c r="AB29" s="38"/>
      <c r="AC29" s="38"/>
      <c r="AD29" s="38"/>
      <c r="AE29" s="75"/>
      <c r="AF29" s="75"/>
      <c r="AG29" s="75"/>
      <c r="AH29" s="75"/>
      <c r="AI29" s="75"/>
      <c r="AJ29" s="75"/>
      <c r="AK29" s="75"/>
      <c r="AL29" s="75"/>
      <c r="AM29" s="75"/>
      <c r="AN29" s="38"/>
      <c r="AO29" s="38"/>
      <c r="AP29" s="38"/>
      <c r="AQ29" s="38"/>
      <c r="AR29" s="38"/>
      <c r="AS29" s="38"/>
      <c r="AT29" s="38"/>
      <c r="AU29" s="38"/>
      <c r="AV29" s="38"/>
      <c r="AW29" s="38"/>
      <c r="AX29" s="38"/>
      <c r="AY29" s="38"/>
      <c r="AZ29" s="38"/>
      <c r="BA29" s="38"/>
      <c r="BB29" s="38"/>
      <c r="BC29" s="38"/>
      <c r="BD29" s="38"/>
    </row>
    <row r="30" spans="1:56" ht="18.95" customHeight="1" x14ac:dyDescent="0.25">
      <c r="A30" s="38"/>
      <c r="B30" s="69" t="s">
        <v>48</v>
      </c>
      <c r="C30" s="302" t="s">
        <v>49</v>
      </c>
      <c r="D30" s="303"/>
      <c r="E30" s="303"/>
      <c r="F30" s="304"/>
      <c r="G30" s="38"/>
      <c r="H30" s="308"/>
      <c r="I30" s="173"/>
      <c r="J30" s="174"/>
      <c r="K30" s="164"/>
      <c r="L30" s="165"/>
      <c r="M30" s="164"/>
      <c r="N30" s="170"/>
      <c r="O30" s="170"/>
      <c r="P30" s="170"/>
      <c r="Q30" s="165"/>
      <c r="R30" s="164"/>
      <c r="S30" s="165"/>
      <c r="T30" s="164"/>
      <c r="U30" s="170"/>
      <c r="V30" s="170"/>
      <c r="W30" s="165"/>
      <c r="X30" s="96"/>
      <c r="Y30" s="130"/>
      <c r="Z30" s="56">
        <f>IF(IFERROR(VLOOKUP($K30,Table_Expenses[],MATCH(Table_Expenses[[#Headers],[Receipt or Mileage]],Table_Expenses[#Headers],0),FALSE),"Receipt")="Receipt",ROUND($X30,2),ROUND($Y30*IFERROR(VLOOKUP(Field09_PayeeType,Table_PayeeType[],MATCH(Table_PayeeType[[#Headers],[Mileage Reimbursement Rate]],Table_PayeeType[#Headers],0),FALSE),DefaultMileageRate),2))</f>
        <v>0</v>
      </c>
      <c r="AA30" s="41"/>
      <c r="AB30" s="38"/>
      <c r="AC30" s="38"/>
      <c r="AD30" s="38"/>
      <c r="AE30" s="75"/>
      <c r="AF30" s="75"/>
      <c r="AG30" s="75"/>
      <c r="AH30" s="75"/>
      <c r="AI30" s="75"/>
      <c r="AJ30" s="75"/>
      <c r="AK30" s="75"/>
      <c r="AL30" s="75"/>
      <c r="AM30" s="75"/>
      <c r="AN30" s="38"/>
      <c r="AO30" s="38"/>
      <c r="AP30" s="38"/>
      <c r="AQ30" s="38"/>
      <c r="AR30" s="38"/>
      <c r="AS30" s="38"/>
      <c r="AT30" s="38"/>
      <c r="AU30" s="38"/>
      <c r="AV30" s="38"/>
      <c r="AW30" s="38"/>
      <c r="AX30" s="38"/>
      <c r="AY30" s="38"/>
      <c r="AZ30" s="38"/>
      <c r="BA30" s="38"/>
      <c r="BB30" s="38"/>
      <c r="BC30" s="38"/>
      <c r="BD30" s="38"/>
    </row>
    <row r="31" spans="1:56" ht="18.95" customHeight="1" x14ac:dyDescent="0.25">
      <c r="A31" s="38"/>
      <c r="B31" s="69" t="s">
        <v>18</v>
      </c>
      <c r="C31" s="299"/>
      <c r="D31" s="300"/>
      <c r="E31" s="300"/>
      <c r="F31" s="301"/>
      <c r="G31" s="38"/>
      <c r="H31" s="308"/>
      <c r="I31" s="173"/>
      <c r="J31" s="174"/>
      <c r="K31" s="164"/>
      <c r="L31" s="165"/>
      <c r="M31" s="164"/>
      <c r="N31" s="170"/>
      <c r="O31" s="170"/>
      <c r="P31" s="170"/>
      <c r="Q31" s="165"/>
      <c r="R31" s="164"/>
      <c r="S31" s="165"/>
      <c r="T31" s="164"/>
      <c r="U31" s="170"/>
      <c r="V31" s="170"/>
      <c r="W31" s="165"/>
      <c r="X31" s="96"/>
      <c r="Y31" s="130"/>
      <c r="Z31" s="56">
        <f>IF(IFERROR(VLOOKUP($K31,Table_Expenses[],MATCH(Table_Expenses[[#Headers],[Receipt or Mileage]],Table_Expenses[#Headers],0),FALSE),"Receipt")="Receipt",ROUND($X31,2),ROUND($Y31*IFERROR(VLOOKUP(Field09_PayeeType,Table_PayeeType[],MATCH(Table_PayeeType[[#Headers],[Mileage Reimbursement Rate]],Table_PayeeType[#Headers],0),FALSE),DefaultMileageRate),2))</f>
        <v>0</v>
      </c>
      <c r="AA31" s="41"/>
      <c r="AB31" s="38"/>
      <c r="AC31" s="38"/>
      <c r="AD31" s="38"/>
      <c r="AE31" s="75"/>
      <c r="AF31" s="75"/>
      <c r="AG31" s="75"/>
      <c r="AH31" s="75"/>
      <c r="AI31" s="75"/>
      <c r="AJ31" s="75"/>
      <c r="AK31" s="75"/>
      <c r="AL31" s="75"/>
      <c r="AM31" s="75"/>
      <c r="AN31" s="38"/>
      <c r="AO31" s="38"/>
      <c r="AP31" s="38"/>
      <c r="AQ31" s="38"/>
      <c r="AR31" s="38"/>
      <c r="AS31" s="38"/>
      <c r="AT31" s="38"/>
      <c r="AU31" s="38"/>
      <c r="AV31" s="38"/>
      <c r="AW31" s="38"/>
      <c r="AX31" s="38"/>
      <c r="AY31" s="38"/>
      <c r="AZ31" s="38"/>
      <c r="BA31" s="38"/>
      <c r="BB31" s="38"/>
      <c r="BC31" s="38"/>
      <c r="BD31" s="38"/>
    </row>
    <row r="32" spans="1:56" ht="18.95" customHeight="1" x14ac:dyDescent="0.25">
      <c r="A32" s="38"/>
      <c r="B32" s="69" t="s">
        <v>20</v>
      </c>
      <c r="C32" s="299"/>
      <c r="D32" s="300"/>
      <c r="E32" s="300"/>
      <c r="F32" s="301"/>
      <c r="G32" s="38"/>
      <c r="H32" s="308"/>
      <c r="I32" s="173"/>
      <c r="J32" s="174"/>
      <c r="K32" s="164"/>
      <c r="L32" s="165"/>
      <c r="M32" s="164"/>
      <c r="N32" s="170"/>
      <c r="O32" s="170"/>
      <c r="P32" s="170"/>
      <c r="Q32" s="165"/>
      <c r="R32" s="164"/>
      <c r="S32" s="165"/>
      <c r="T32" s="164"/>
      <c r="U32" s="170"/>
      <c r="V32" s="170"/>
      <c r="W32" s="165"/>
      <c r="X32" s="96"/>
      <c r="Y32" s="130"/>
      <c r="Z32" s="56">
        <f>IF(IFERROR(VLOOKUP($K32,Table_Expenses[],MATCH(Table_Expenses[[#Headers],[Receipt or Mileage]],Table_Expenses[#Headers],0),FALSE),"Receipt")="Receipt",ROUND($X32,2),ROUND($Y32*IFERROR(VLOOKUP(Field09_PayeeType,Table_PayeeType[],MATCH(Table_PayeeType[[#Headers],[Mileage Reimbursement Rate]],Table_PayeeType[#Headers],0),FALSE),DefaultMileageRate),2))</f>
        <v>0</v>
      </c>
      <c r="AA32" s="41"/>
      <c r="AB32" s="38"/>
      <c r="AC32" s="38"/>
      <c r="AD32" s="38"/>
      <c r="AE32" s="75"/>
      <c r="AF32" s="75"/>
      <c r="AG32" s="75"/>
      <c r="AH32" s="75"/>
      <c r="AI32" s="75"/>
      <c r="AJ32" s="75"/>
      <c r="AK32" s="75"/>
      <c r="AL32" s="75"/>
      <c r="AM32" s="75"/>
      <c r="AN32" s="38"/>
      <c r="AO32" s="38"/>
      <c r="AP32" s="38"/>
      <c r="AQ32" s="38"/>
      <c r="AR32" s="38"/>
      <c r="AS32" s="38"/>
      <c r="AT32" s="38"/>
      <c r="AU32" s="38"/>
      <c r="AV32" s="38"/>
      <c r="AW32" s="38"/>
      <c r="AX32" s="38"/>
      <c r="AY32" s="38"/>
      <c r="AZ32" s="38"/>
      <c r="BA32" s="38"/>
      <c r="BB32" s="38"/>
      <c r="BC32" s="38"/>
      <c r="BD32" s="38"/>
    </row>
    <row r="33" spans="1:56" ht="18.95" customHeight="1" x14ac:dyDescent="0.25">
      <c r="A33" s="38"/>
      <c r="B33" s="38"/>
      <c r="C33" s="38"/>
      <c r="D33" s="38"/>
      <c r="E33" s="38"/>
      <c r="F33" s="38"/>
      <c r="G33" s="38"/>
      <c r="H33" s="308"/>
      <c r="I33" s="173"/>
      <c r="J33" s="174"/>
      <c r="K33" s="164"/>
      <c r="L33" s="165"/>
      <c r="M33" s="164"/>
      <c r="N33" s="170"/>
      <c r="O33" s="170"/>
      <c r="P33" s="170"/>
      <c r="Q33" s="165"/>
      <c r="R33" s="164"/>
      <c r="S33" s="165"/>
      <c r="T33" s="164"/>
      <c r="U33" s="170"/>
      <c r="V33" s="170"/>
      <c r="W33" s="165"/>
      <c r="X33" s="96"/>
      <c r="Y33" s="130"/>
      <c r="Z33" s="56">
        <f>IF(IFERROR(VLOOKUP($K33,Table_Expenses[],MATCH(Table_Expenses[[#Headers],[Receipt or Mileage]],Table_Expenses[#Headers],0),FALSE),"Receipt")="Receipt",ROUND($X33,2),ROUND($Y33*IFERROR(VLOOKUP(Field09_PayeeType,Table_PayeeType[],MATCH(Table_PayeeType[[#Headers],[Mileage Reimbursement Rate]],Table_PayeeType[#Headers],0),FALSE),DefaultMileageRate),2))</f>
        <v>0</v>
      </c>
      <c r="AA33" s="41"/>
      <c r="AB33" s="38"/>
      <c r="AC33" s="38"/>
      <c r="AD33" s="38"/>
      <c r="AE33" s="75"/>
      <c r="AF33" s="75"/>
      <c r="AG33" s="75"/>
      <c r="AH33" s="75"/>
      <c r="AI33" s="75"/>
      <c r="AJ33" s="75"/>
      <c r="AK33" s="75"/>
      <c r="AL33" s="75"/>
      <c r="AM33" s="75"/>
      <c r="AN33" s="75"/>
      <c r="AO33" s="75"/>
      <c r="AP33" s="75"/>
      <c r="AQ33" s="75"/>
      <c r="AR33" s="75"/>
      <c r="AS33" s="75"/>
      <c r="AT33" s="75"/>
      <c r="AU33" s="38"/>
      <c r="AV33" s="38"/>
      <c r="AW33" s="38"/>
      <c r="AX33" s="38"/>
      <c r="AY33" s="38"/>
      <c r="AZ33" s="38"/>
      <c r="BA33" s="38"/>
      <c r="BB33" s="38"/>
      <c r="BC33" s="38"/>
      <c r="BD33" s="38"/>
    </row>
    <row r="34" spans="1:56" ht="18.95" customHeight="1" x14ac:dyDescent="0.25">
      <c r="A34" s="38"/>
      <c r="B34" s="166" t="str">
        <f>VLOOKUP(VALUE("03"),Table_SectionNames[],MATCH(Table_SectionNames[[#Headers],[Section Header]],Table_SectionNames[#Headers],0),FALSE)</f>
        <v>3. Claim Details</v>
      </c>
      <c r="C34" s="171"/>
      <c r="D34" s="171"/>
      <c r="E34" s="171"/>
      <c r="F34" s="172"/>
      <c r="G34" s="38"/>
      <c r="H34" s="308"/>
      <c r="I34" s="173"/>
      <c r="J34" s="174"/>
      <c r="K34" s="164"/>
      <c r="L34" s="165"/>
      <c r="M34" s="164"/>
      <c r="N34" s="170"/>
      <c r="O34" s="170"/>
      <c r="P34" s="170"/>
      <c r="Q34" s="165"/>
      <c r="R34" s="164"/>
      <c r="S34" s="165"/>
      <c r="T34" s="164"/>
      <c r="U34" s="170"/>
      <c r="V34" s="170"/>
      <c r="W34" s="165"/>
      <c r="X34" s="96"/>
      <c r="Y34" s="130"/>
      <c r="Z34" s="56">
        <f>IF(IFERROR(VLOOKUP($K34,Table_Expenses[],MATCH(Table_Expenses[[#Headers],[Receipt or Mileage]],Table_Expenses[#Headers],0),FALSE),"Receipt")="Receipt",ROUND($X34,2),ROUND($Y34*IFERROR(VLOOKUP(Field09_PayeeType,Table_PayeeType[],MATCH(Table_PayeeType[[#Headers],[Mileage Reimbursement Rate]],Table_PayeeType[#Headers],0),FALSE),DefaultMileageRate),2))</f>
        <v>0</v>
      </c>
      <c r="AA34" s="41"/>
      <c r="AB34" s="38"/>
      <c r="AC34" s="38"/>
      <c r="AD34" s="38"/>
      <c r="AE34" s="75"/>
      <c r="AF34" s="75"/>
      <c r="AG34" s="75"/>
      <c r="AH34" s="75"/>
      <c r="AI34" s="75"/>
      <c r="AJ34" s="75"/>
      <c r="AK34" s="75"/>
      <c r="AL34" s="75"/>
      <c r="AM34" s="75"/>
      <c r="AN34" s="75"/>
      <c r="AO34" s="75"/>
      <c r="AP34" s="75"/>
      <c r="AQ34" s="75"/>
      <c r="AR34" s="75"/>
      <c r="AS34" s="75"/>
      <c r="AT34" s="75"/>
      <c r="AU34" s="38"/>
      <c r="AV34" s="38"/>
      <c r="AW34" s="38"/>
      <c r="AX34" s="38"/>
      <c r="AY34" s="38"/>
      <c r="AZ34" s="38"/>
      <c r="BA34" s="38"/>
      <c r="BB34" s="38"/>
      <c r="BC34" s="38"/>
      <c r="BD34" s="38"/>
    </row>
    <row r="35" spans="1:56" ht="18.95" customHeight="1" x14ac:dyDescent="0.25">
      <c r="A35" s="38"/>
      <c r="B35" s="70" t="s">
        <v>39</v>
      </c>
      <c r="C35" s="278" t="s">
        <v>49</v>
      </c>
      <c r="D35" s="278"/>
      <c r="E35" s="278"/>
      <c r="F35" s="278"/>
      <c r="G35" s="37"/>
      <c r="H35" s="308"/>
      <c r="I35" s="173"/>
      <c r="J35" s="174"/>
      <c r="K35" s="164"/>
      <c r="L35" s="165"/>
      <c r="M35" s="164"/>
      <c r="N35" s="170"/>
      <c r="O35" s="170"/>
      <c r="P35" s="170"/>
      <c r="Q35" s="165"/>
      <c r="R35" s="164"/>
      <c r="S35" s="165"/>
      <c r="T35" s="164"/>
      <c r="U35" s="170"/>
      <c r="V35" s="170"/>
      <c r="W35" s="165"/>
      <c r="X35" s="96"/>
      <c r="Y35" s="130"/>
      <c r="Z35" s="56">
        <f>IF(IFERROR(VLOOKUP($K35,Table_Expenses[],MATCH(Table_Expenses[[#Headers],[Receipt or Mileage]],Table_Expenses[#Headers],0),FALSE),"Receipt")="Receipt",ROUND($X35,2),ROUND($Y35*IFERROR(VLOOKUP(Field09_PayeeType,Table_PayeeType[],MATCH(Table_PayeeType[[#Headers],[Mileage Reimbursement Rate]],Table_PayeeType[#Headers],0),FALSE),DefaultMileageRate),2))</f>
        <v>0</v>
      </c>
      <c r="AA35" s="41"/>
      <c r="AB35" s="38"/>
      <c r="AC35" s="38"/>
      <c r="AD35" s="38"/>
      <c r="AE35" s="75"/>
      <c r="AF35" s="75"/>
      <c r="AG35" s="75"/>
      <c r="AH35" s="75"/>
      <c r="AI35" s="75"/>
      <c r="AJ35" s="75"/>
      <c r="AK35" s="75"/>
      <c r="AL35" s="75"/>
      <c r="AM35" s="75"/>
      <c r="AN35" s="75"/>
      <c r="AO35" s="75"/>
      <c r="AP35" s="75"/>
      <c r="AQ35" s="75"/>
      <c r="AR35" s="75"/>
      <c r="AS35" s="75"/>
      <c r="AT35" s="75"/>
      <c r="AU35" s="38"/>
      <c r="AV35" s="38"/>
      <c r="AW35" s="38"/>
      <c r="AX35" s="38"/>
      <c r="AY35" s="38"/>
      <c r="AZ35" s="38"/>
      <c r="BA35" s="38"/>
      <c r="BB35" s="38"/>
      <c r="BC35" s="38"/>
      <c r="BD35" s="38"/>
    </row>
    <row r="36" spans="1:56" ht="18.95" customHeight="1" x14ac:dyDescent="0.25">
      <c r="A36" s="38"/>
      <c r="B36" s="70" t="s">
        <v>179</v>
      </c>
      <c r="C36" s="277"/>
      <c r="D36" s="277"/>
      <c r="E36" s="277"/>
      <c r="F36" s="277"/>
      <c r="G36" s="37"/>
      <c r="H36" s="308"/>
      <c r="I36" s="173"/>
      <c r="J36" s="174"/>
      <c r="K36" s="164"/>
      <c r="L36" s="165"/>
      <c r="M36" s="164"/>
      <c r="N36" s="170"/>
      <c r="O36" s="170"/>
      <c r="P36" s="170"/>
      <c r="Q36" s="165"/>
      <c r="R36" s="164"/>
      <c r="S36" s="165"/>
      <c r="T36" s="164"/>
      <c r="U36" s="170"/>
      <c r="V36" s="170"/>
      <c r="W36" s="165"/>
      <c r="X36" s="96"/>
      <c r="Y36" s="130"/>
      <c r="Z36" s="56">
        <f>IF(IFERROR(VLOOKUP($K36,Table_Expenses[],MATCH(Table_Expenses[[#Headers],[Receipt or Mileage]],Table_Expenses[#Headers],0),FALSE),"Receipt")="Receipt",ROUND($X36,2),ROUND($Y36*IFERROR(VLOOKUP(Field09_PayeeType,Table_PayeeType[],MATCH(Table_PayeeType[[#Headers],[Mileage Reimbursement Rate]],Table_PayeeType[#Headers],0),FALSE),DefaultMileageRate),2))</f>
        <v>0</v>
      </c>
      <c r="AA36" s="41"/>
      <c r="AB36" s="38"/>
      <c r="AC36" s="38"/>
      <c r="AD36" s="38"/>
      <c r="AE36" s="75"/>
      <c r="AF36" s="75"/>
      <c r="AG36" s="75"/>
      <c r="AH36" s="75"/>
      <c r="AI36" s="75"/>
      <c r="AJ36" s="75"/>
      <c r="AK36" s="75"/>
      <c r="AL36" s="75"/>
      <c r="AM36" s="75"/>
      <c r="AN36" s="75"/>
      <c r="AO36" s="75"/>
      <c r="AP36" s="75"/>
      <c r="AQ36" s="75"/>
      <c r="AR36" s="75"/>
      <c r="AS36" s="75"/>
      <c r="AT36" s="75"/>
      <c r="AU36" s="38"/>
      <c r="AV36" s="38"/>
      <c r="AW36" s="38"/>
      <c r="AX36" s="38"/>
      <c r="AY36" s="38"/>
      <c r="AZ36" s="38"/>
      <c r="BA36" s="38"/>
      <c r="BB36" s="38"/>
      <c r="BC36" s="38"/>
      <c r="BD36" s="38"/>
    </row>
    <row r="37" spans="1:56" ht="18.95" customHeight="1" x14ac:dyDescent="0.25">
      <c r="A37" s="38"/>
      <c r="B37" s="70" t="s">
        <v>388</v>
      </c>
      <c r="C37" s="276" t="s">
        <v>49</v>
      </c>
      <c r="D37" s="276"/>
      <c r="E37" s="276"/>
      <c r="F37" s="276"/>
      <c r="G37" s="37"/>
      <c r="H37" s="308"/>
      <c r="I37" s="173"/>
      <c r="J37" s="174"/>
      <c r="K37" s="164"/>
      <c r="L37" s="165"/>
      <c r="M37" s="164"/>
      <c r="N37" s="170"/>
      <c r="O37" s="170"/>
      <c r="P37" s="170"/>
      <c r="Q37" s="165"/>
      <c r="R37" s="164"/>
      <c r="S37" s="165"/>
      <c r="T37" s="164"/>
      <c r="U37" s="170"/>
      <c r="V37" s="170"/>
      <c r="W37" s="165"/>
      <c r="X37" s="96"/>
      <c r="Y37" s="130"/>
      <c r="Z37" s="56">
        <f>IF(IFERROR(VLOOKUP($K37,Table_Expenses[],MATCH(Table_Expenses[[#Headers],[Receipt or Mileage]],Table_Expenses[#Headers],0),FALSE),"Receipt")="Receipt",ROUND($X37,2),ROUND($Y37*IFERROR(VLOOKUP(Field09_PayeeType,Table_PayeeType[],MATCH(Table_PayeeType[[#Headers],[Mileage Reimbursement Rate]],Table_PayeeType[#Headers],0),FALSE),DefaultMileageRate),2))</f>
        <v>0</v>
      </c>
      <c r="AA37" s="38"/>
      <c r="AB37" s="38"/>
      <c r="AC37" s="38"/>
      <c r="AD37" s="38"/>
      <c r="AE37" s="75"/>
      <c r="AF37" s="75"/>
      <c r="AG37" s="75"/>
      <c r="AH37" s="75"/>
      <c r="AI37" s="75"/>
      <c r="AJ37" s="75"/>
      <c r="AK37" s="75"/>
      <c r="AL37" s="75"/>
      <c r="AM37" s="75"/>
      <c r="AN37" s="75"/>
      <c r="AO37" s="75"/>
      <c r="AP37" s="75"/>
      <c r="AQ37" s="75"/>
      <c r="AR37" s="75"/>
      <c r="AS37" s="75"/>
      <c r="AT37" s="75"/>
      <c r="AU37" s="38"/>
      <c r="AV37" s="38"/>
      <c r="AW37" s="38"/>
      <c r="AX37" s="38"/>
      <c r="AY37" s="38"/>
      <c r="AZ37" s="38"/>
      <c r="BA37" s="38"/>
      <c r="BB37" s="38"/>
      <c r="BC37" s="38"/>
      <c r="BD37" s="38"/>
    </row>
    <row r="38" spans="1:56" ht="18.95" customHeight="1" x14ac:dyDescent="0.25">
      <c r="A38" s="38"/>
      <c r="B38" s="69" t="s">
        <v>504</v>
      </c>
      <c r="C38" s="276" t="s">
        <v>49</v>
      </c>
      <c r="D38" s="276"/>
      <c r="E38" s="276"/>
      <c r="F38" s="276"/>
      <c r="G38" s="37"/>
      <c r="H38" s="308"/>
      <c r="I38" s="257" t="s">
        <v>1279</v>
      </c>
      <c r="J38" s="258"/>
      <c r="K38" s="258"/>
      <c r="L38" s="258"/>
      <c r="M38" s="258"/>
      <c r="N38" s="258"/>
      <c r="O38" s="258"/>
      <c r="P38" s="258"/>
      <c r="Q38" s="258"/>
      <c r="R38" s="258"/>
      <c r="S38" s="258"/>
      <c r="T38" s="258"/>
      <c r="U38" s="258"/>
      <c r="V38" s="258"/>
      <c r="W38" s="258"/>
      <c r="X38" s="258"/>
      <c r="Y38" s="259"/>
      <c r="Z38" s="53">
        <f>SUM($Z$27:$Z$37)</f>
        <v>0</v>
      </c>
      <c r="AA38" s="38"/>
      <c r="AB38" s="38"/>
      <c r="AC38" s="75"/>
      <c r="AD38" s="75"/>
      <c r="AE38" s="75"/>
      <c r="AF38" s="75"/>
      <c r="AG38" s="75"/>
      <c r="AH38" s="75"/>
      <c r="AI38" s="75"/>
      <c r="AJ38" s="75"/>
      <c r="AK38" s="75"/>
      <c r="AL38" s="75"/>
      <c r="AM38" s="75"/>
      <c r="AN38" s="75"/>
      <c r="AO38" s="75"/>
      <c r="AP38" s="75"/>
      <c r="AQ38" s="75"/>
      <c r="AR38" s="75"/>
      <c r="AS38" s="75"/>
      <c r="AT38" s="75"/>
      <c r="AU38" s="38"/>
      <c r="AV38" s="38"/>
      <c r="AW38" s="38"/>
      <c r="AX38" s="38"/>
      <c r="AY38" s="38"/>
      <c r="AZ38" s="38"/>
      <c r="BA38" s="38"/>
      <c r="BB38" s="38"/>
      <c r="BC38" s="38"/>
      <c r="BD38" s="38"/>
    </row>
    <row r="39" spans="1:56" ht="15" customHeight="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38"/>
      <c r="AC39" s="75"/>
      <c r="AD39" s="75"/>
      <c r="AE39" s="75"/>
      <c r="AF39" s="75"/>
      <c r="AG39" s="75"/>
      <c r="AH39" s="75"/>
      <c r="AI39" s="75"/>
      <c r="AJ39" s="75"/>
      <c r="AK39" s="75"/>
      <c r="AL39" s="75"/>
      <c r="AM39" s="75"/>
      <c r="AN39" s="75"/>
      <c r="AO39" s="75"/>
      <c r="AP39" s="75"/>
      <c r="AQ39" s="75"/>
      <c r="AR39" s="75"/>
      <c r="AS39" s="75"/>
      <c r="AT39" s="75"/>
      <c r="AU39" s="38"/>
      <c r="AV39" s="38"/>
      <c r="AW39" s="38"/>
      <c r="AX39" s="38"/>
      <c r="AY39" s="38"/>
      <c r="AZ39" s="38"/>
      <c r="BA39" s="38"/>
      <c r="BB39" s="38"/>
      <c r="BC39" s="38"/>
      <c r="BD39" s="38"/>
    </row>
    <row r="40" spans="1:56" ht="15" customHeight="1" x14ac:dyDescent="0.25">
      <c r="A40" s="71"/>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1"/>
      <c r="AB40" s="38"/>
      <c r="AC40" s="75"/>
      <c r="AD40" s="75"/>
      <c r="AE40" s="75"/>
      <c r="AF40" s="75"/>
      <c r="AG40" s="75"/>
      <c r="AH40" s="75"/>
      <c r="AI40" s="75"/>
      <c r="AJ40" s="75"/>
      <c r="AK40" s="75"/>
      <c r="AL40" s="75"/>
      <c r="AM40" s="75"/>
      <c r="AN40" s="75"/>
      <c r="AO40" s="75"/>
      <c r="AP40" s="75"/>
      <c r="AQ40" s="75"/>
      <c r="AR40" s="75"/>
      <c r="AS40" s="75"/>
      <c r="AT40" s="75"/>
      <c r="AU40" s="38"/>
      <c r="AV40" s="38"/>
      <c r="AW40" s="38"/>
      <c r="AX40" s="38"/>
      <c r="AY40" s="38"/>
      <c r="AZ40" s="38"/>
      <c r="BA40" s="38"/>
      <c r="BB40" s="38"/>
      <c r="BC40" s="38"/>
      <c r="BD40" s="38"/>
    </row>
    <row r="41" spans="1:56" ht="18.95" customHeight="1" x14ac:dyDescent="0.25">
      <c r="A41" s="71"/>
      <c r="B41" s="166" t="str">
        <f>VLOOKUP(VALUE("08"),Table_SectionNames[],MATCH(Table_SectionNames[[#Headers],[Section Header]],Table_SectionNames[#Headers],0),FALSE)</f>
        <v>8. Funding Maximum (if applicable)</v>
      </c>
      <c r="C41" s="167"/>
      <c r="D41" s="167"/>
      <c r="E41" s="167"/>
      <c r="F41" s="168"/>
      <c r="G41" s="72"/>
      <c r="H41" s="166" t="str">
        <f>VLOOKUP(VALUE("10"),Table_SectionNames[],MATCH(Table_SectionNames[[#Headers],[Section Header]],Table_SectionNames[#Headers],0),FALSE)</f>
        <v>10. Claim Allocation</v>
      </c>
      <c r="I41" s="167"/>
      <c r="J41" s="167"/>
      <c r="K41" s="167"/>
      <c r="L41" s="167"/>
      <c r="M41" s="167"/>
      <c r="N41" s="168"/>
      <c r="O41" s="73"/>
      <c r="P41" s="186" t="str">
        <f>VLOOKUP(VALUE("11"),Table_SectionNames[],MATCH(Table_SectionNames[[#Headers],[Section Header]],Table_SectionNames[#Headers],0),FALSE)</f>
        <v>11. Authorization</v>
      </c>
      <c r="Q41" s="187"/>
      <c r="R41" s="187"/>
      <c r="S41" s="187"/>
      <c r="T41" s="187"/>
      <c r="U41" s="187"/>
      <c r="V41" s="187"/>
      <c r="W41" s="187"/>
      <c r="X41" s="187"/>
      <c r="Y41" s="187"/>
      <c r="Z41" s="188"/>
      <c r="AA41" s="71"/>
      <c r="AB41" s="38"/>
      <c r="AC41" s="75"/>
      <c r="AD41" s="75"/>
      <c r="AE41" s="75"/>
      <c r="AF41" s="75"/>
      <c r="AG41" s="75"/>
      <c r="AH41" s="75"/>
      <c r="AI41" s="75"/>
      <c r="AJ41" s="75"/>
      <c r="AK41" s="75"/>
      <c r="AL41" s="75"/>
      <c r="AM41" s="75"/>
      <c r="AN41" s="75"/>
      <c r="AO41" s="75"/>
      <c r="AP41" s="75"/>
      <c r="AQ41" s="75"/>
      <c r="AR41" s="75"/>
      <c r="AS41" s="75"/>
      <c r="AT41" s="75"/>
      <c r="AU41" s="38"/>
      <c r="AV41" s="38"/>
      <c r="AW41" s="38"/>
      <c r="AX41" s="38"/>
      <c r="AY41" s="38"/>
      <c r="AZ41" s="38"/>
      <c r="BA41" s="38"/>
      <c r="BB41" s="38"/>
      <c r="BC41" s="38"/>
      <c r="BD41" s="38"/>
    </row>
    <row r="42" spans="1:56" ht="18.95" customHeight="1" x14ac:dyDescent="0.25">
      <c r="A42" s="71"/>
      <c r="B42" s="169" t="s">
        <v>462</v>
      </c>
      <c r="C42" s="169"/>
      <c r="D42" s="169"/>
      <c r="E42" s="169"/>
      <c r="F42" s="97"/>
      <c r="G42" s="72"/>
      <c r="H42" s="255" t="s">
        <v>197</v>
      </c>
      <c r="I42" s="255"/>
      <c r="J42" s="256"/>
      <c r="K42" s="256"/>
      <c r="L42" s="256"/>
      <c r="M42" s="232"/>
      <c r="N42" s="232"/>
      <c r="O42" s="73"/>
      <c r="P42" s="163" t="s">
        <v>239</v>
      </c>
      <c r="Q42" s="163"/>
      <c r="R42" s="163" t="s">
        <v>170</v>
      </c>
      <c r="S42" s="163"/>
      <c r="T42" s="163"/>
      <c r="U42" s="163" t="s">
        <v>171</v>
      </c>
      <c r="V42" s="163"/>
      <c r="W42" s="163"/>
      <c r="X42" s="163" t="s">
        <v>172</v>
      </c>
      <c r="Y42" s="163"/>
      <c r="Z42" s="163"/>
      <c r="AA42" s="71"/>
      <c r="AB42" s="38"/>
      <c r="AC42" s="75"/>
      <c r="AD42" s="75"/>
      <c r="AE42" s="75"/>
      <c r="AF42" s="75"/>
      <c r="AG42" s="75"/>
      <c r="AH42" s="75"/>
      <c r="AI42" s="75"/>
      <c r="AJ42" s="75"/>
      <c r="AK42" s="75"/>
      <c r="AL42" s="75"/>
      <c r="AM42" s="75"/>
      <c r="AN42" s="75"/>
      <c r="AO42" s="75"/>
      <c r="AP42" s="75"/>
      <c r="AQ42" s="75"/>
      <c r="AR42" s="75"/>
      <c r="AS42" s="75"/>
      <c r="AT42" s="75"/>
      <c r="AU42" s="38"/>
      <c r="AV42" s="38"/>
      <c r="AW42" s="38"/>
      <c r="AX42" s="38"/>
      <c r="AY42" s="38"/>
      <c r="AZ42" s="38"/>
      <c r="BA42" s="38"/>
      <c r="BB42" s="38"/>
      <c r="BC42" s="38"/>
      <c r="BD42" s="38"/>
    </row>
    <row r="43" spans="1:56" ht="18.95" customHeight="1" x14ac:dyDescent="0.25">
      <c r="A43" s="71"/>
      <c r="B43" s="169" t="s">
        <v>178</v>
      </c>
      <c r="C43" s="216"/>
      <c r="D43" s="216"/>
      <c r="E43" s="216"/>
      <c r="F43" s="216"/>
      <c r="G43" s="72"/>
      <c r="H43" s="255" t="s">
        <v>325</v>
      </c>
      <c r="I43" s="255"/>
      <c r="J43" s="256"/>
      <c r="K43" s="256"/>
      <c r="L43" s="256"/>
      <c r="M43" s="232"/>
      <c r="N43" s="232"/>
      <c r="O43" s="73"/>
      <c r="P43" s="213" t="s">
        <v>187</v>
      </c>
      <c r="Q43" s="213"/>
      <c r="R43" s="202" t="str">
        <f ca="1">IF(COUNTIFS(Table_ErrorList[Error Evaluation],TRUE,Table_ErrorList[Section '#],1)=0,
CONCATENATE(TRIM(PROPER(Field01_Prefix))," ",TRIM(PROPER(Field02_FirstName))," ",TRIM(PROPER(Field03_LastName))),"- - - - - -")</f>
        <v>- - - - - -</v>
      </c>
      <c r="S43" s="203"/>
      <c r="T43" s="204"/>
      <c r="U43" s="189"/>
      <c r="V43" s="189"/>
      <c r="W43" s="189"/>
      <c r="X43" s="185"/>
      <c r="Y43" s="185"/>
      <c r="Z43" s="185"/>
      <c r="AA43" s="71"/>
      <c r="AB43" s="38"/>
      <c r="AC43" s="75"/>
      <c r="AD43" s="75"/>
      <c r="AE43" s="75"/>
      <c r="AF43" s="75"/>
      <c r="AG43" s="75"/>
      <c r="AH43" s="75"/>
      <c r="AI43" s="75"/>
      <c r="AJ43" s="75"/>
      <c r="AK43" s="75"/>
      <c r="AL43" s="75"/>
      <c r="AM43" s="75"/>
      <c r="AN43" s="75"/>
      <c r="AO43" s="75"/>
      <c r="AP43" s="75"/>
      <c r="AQ43" s="75"/>
      <c r="AR43" s="75"/>
      <c r="AS43" s="75"/>
      <c r="AT43" s="75"/>
      <c r="AU43" s="38"/>
      <c r="AV43" s="38"/>
      <c r="AW43" s="38"/>
      <c r="AX43" s="38"/>
      <c r="AY43" s="38"/>
      <c r="AZ43" s="38"/>
      <c r="BA43" s="38"/>
      <c r="BB43" s="38"/>
      <c r="BC43" s="38"/>
      <c r="BD43" s="38"/>
    </row>
    <row r="44" spans="1:56" ht="18.95" customHeight="1" x14ac:dyDescent="0.25">
      <c r="A44" s="71"/>
      <c r="B44" s="169"/>
      <c r="C44" s="216"/>
      <c r="D44" s="216"/>
      <c r="E44" s="216"/>
      <c r="F44" s="216"/>
      <c r="G44" s="72"/>
      <c r="H44" s="255" t="s">
        <v>326</v>
      </c>
      <c r="I44" s="255"/>
      <c r="J44" s="256"/>
      <c r="K44" s="256"/>
      <c r="L44" s="256"/>
      <c r="M44" s="232"/>
      <c r="N44" s="232"/>
      <c r="O44" s="73"/>
      <c r="P44" s="213"/>
      <c r="Q44" s="213"/>
      <c r="R44" s="205"/>
      <c r="S44" s="206"/>
      <c r="T44" s="207"/>
      <c r="U44" s="189"/>
      <c r="V44" s="189"/>
      <c r="W44" s="189"/>
      <c r="X44" s="185"/>
      <c r="Y44" s="185"/>
      <c r="Z44" s="185"/>
      <c r="AA44" s="71"/>
      <c r="AB44" s="38"/>
      <c r="AC44" s="75"/>
      <c r="AD44" s="75"/>
      <c r="AE44" s="75"/>
      <c r="AF44" s="75"/>
      <c r="AG44" s="75"/>
      <c r="AH44" s="75"/>
      <c r="AI44" s="75"/>
      <c r="AJ44" s="75"/>
      <c r="AK44" s="75"/>
      <c r="AL44" s="75"/>
      <c r="AM44" s="75"/>
      <c r="AN44" s="75"/>
      <c r="AO44" s="75"/>
      <c r="AP44" s="75"/>
      <c r="AQ44" s="75"/>
      <c r="AR44" s="75"/>
      <c r="AS44" s="75"/>
      <c r="AT44" s="75"/>
      <c r="AU44" s="38"/>
      <c r="AV44" s="38"/>
      <c r="AW44" s="38"/>
      <c r="AX44" s="38"/>
      <c r="AY44" s="38"/>
      <c r="AZ44" s="38"/>
      <c r="BA44" s="38"/>
      <c r="BB44" s="38"/>
      <c r="BC44" s="38"/>
      <c r="BD44" s="38"/>
    </row>
    <row r="45" spans="1:56" ht="18.95" customHeight="1" x14ac:dyDescent="0.25">
      <c r="A45" s="71"/>
      <c r="B45" s="38"/>
      <c r="C45" s="38"/>
      <c r="D45" s="38"/>
      <c r="E45" s="38"/>
      <c r="F45" s="38"/>
      <c r="G45" s="72"/>
      <c r="H45" s="255" t="s">
        <v>327</v>
      </c>
      <c r="I45" s="255"/>
      <c r="J45" s="256"/>
      <c r="K45" s="256"/>
      <c r="L45" s="256"/>
      <c r="M45" s="232"/>
      <c r="N45" s="232"/>
      <c r="O45" s="73"/>
      <c r="P45" s="213"/>
      <c r="Q45" s="213"/>
      <c r="R45" s="208"/>
      <c r="S45" s="209"/>
      <c r="T45" s="210"/>
      <c r="U45" s="189"/>
      <c r="V45" s="189"/>
      <c r="W45" s="189"/>
      <c r="X45" s="185"/>
      <c r="Y45" s="185"/>
      <c r="Z45" s="185"/>
      <c r="AA45" s="71"/>
      <c r="AB45" s="38"/>
      <c r="AC45" s="75"/>
      <c r="AD45" s="75"/>
      <c r="AE45" s="75"/>
      <c r="AF45" s="75"/>
      <c r="AG45" s="75"/>
      <c r="AH45" s="75"/>
      <c r="AI45" s="75"/>
      <c r="AJ45" s="75"/>
      <c r="AK45" s="75"/>
      <c r="AL45" s="75"/>
      <c r="AM45" s="75"/>
      <c r="AN45" s="75"/>
      <c r="AO45" s="75"/>
      <c r="AP45" s="75"/>
      <c r="AQ45" s="75"/>
      <c r="AR45" s="75"/>
      <c r="AS45" s="75"/>
      <c r="AT45" s="75"/>
      <c r="AU45" s="38"/>
      <c r="AV45" s="38"/>
      <c r="AW45" s="38"/>
      <c r="AX45" s="38"/>
      <c r="AY45" s="38"/>
      <c r="AZ45" s="38"/>
      <c r="BA45" s="38"/>
      <c r="BB45" s="38"/>
      <c r="BC45" s="38"/>
      <c r="BD45" s="38"/>
    </row>
    <row r="46" spans="1:56" ht="18.95" customHeight="1" x14ac:dyDescent="0.25">
      <c r="A46" s="71"/>
      <c r="B46" s="240" t="str">
        <f>VLOOKUP(VALUE("09"),Table_SectionNames[],MATCH(Table_SectionNames[[#Headers],[Section Header]],Table_SectionNames[#Headers],0),FALSE)</f>
        <v>9. Expense Summary</v>
      </c>
      <c r="C46" s="240"/>
      <c r="D46" s="240"/>
      <c r="E46" s="240"/>
      <c r="F46" s="240"/>
      <c r="G46" s="72"/>
      <c r="H46" s="192" t="s">
        <v>77</v>
      </c>
      <c r="I46" s="192"/>
      <c r="J46" s="192"/>
      <c r="K46" s="192"/>
      <c r="L46" s="192"/>
      <c r="M46" s="230">
        <f ca="1">IF(SUM(ClaimAllocation_AmountArray)=Total_Eligible,Total_Eligible,"-err-")</f>
        <v>0</v>
      </c>
      <c r="N46" s="230"/>
      <c r="O46" s="73"/>
      <c r="P46" s="213" t="s">
        <v>188</v>
      </c>
      <c r="Q46" s="213"/>
      <c r="R46" s="193"/>
      <c r="S46" s="194"/>
      <c r="T46" s="195"/>
      <c r="U46" s="189"/>
      <c r="V46" s="189"/>
      <c r="W46" s="189"/>
      <c r="X46" s="185"/>
      <c r="Y46" s="185"/>
      <c r="Z46" s="185"/>
      <c r="AA46" s="71"/>
      <c r="AB46" s="38"/>
      <c r="AC46" s="75"/>
      <c r="AD46" s="75"/>
      <c r="AE46" s="75"/>
      <c r="AF46" s="75"/>
      <c r="AG46" s="75"/>
      <c r="AH46" s="75"/>
      <c r="AI46" s="75"/>
      <c r="AJ46" s="75"/>
      <c r="AK46" s="75"/>
      <c r="AL46" s="75"/>
      <c r="AM46" s="75"/>
      <c r="AN46" s="75"/>
      <c r="AO46" s="75"/>
      <c r="AP46" s="75"/>
      <c r="AQ46" s="75"/>
      <c r="AR46" s="75"/>
      <c r="AS46" s="75"/>
      <c r="AT46" s="75"/>
      <c r="AU46" s="38"/>
      <c r="AV46" s="38"/>
      <c r="AW46" s="38"/>
      <c r="AX46" s="38"/>
      <c r="AY46" s="38"/>
      <c r="AZ46" s="38"/>
      <c r="BA46" s="38"/>
      <c r="BB46" s="38"/>
      <c r="BC46" s="38"/>
      <c r="BD46" s="38"/>
    </row>
    <row r="47" spans="1:56" ht="18.95" customHeight="1" x14ac:dyDescent="0.25">
      <c r="A47" s="71"/>
      <c r="B47" s="212" t="str">
        <f>VLOOKUP("A",Table_SummaryPots[],MATCH(Table_SummaryPots[[#Headers],[Summary Pots]],Table_SummaryPots[#Headers],0),FALSE)</f>
        <v>Meals &amp; Groceries</v>
      </c>
      <c r="C47" s="212"/>
      <c r="D47" s="212"/>
      <c r="E47" s="212"/>
      <c r="F47" s="42">
        <f ca="1">Total_Meals</f>
        <v>0</v>
      </c>
      <c r="G47" s="72"/>
      <c r="H47" s="233" t="s">
        <v>387</v>
      </c>
      <c r="I47" s="234"/>
      <c r="J47" s="235"/>
      <c r="K47" s="214" t="str">
        <f>"XX"&amp;"-000000-13000-00"</f>
        <v>XX-000000-13000-00</v>
      </c>
      <c r="L47" s="215"/>
      <c r="M47" s="231">
        <f ca="1">IF(SUM(ClaimAllocation_AmountArray)=Total_Eligible,Total_Advance,"-err-")</f>
        <v>0</v>
      </c>
      <c r="N47" s="231"/>
      <c r="O47" s="73"/>
      <c r="P47" s="213"/>
      <c r="Q47" s="213"/>
      <c r="R47" s="196"/>
      <c r="S47" s="197"/>
      <c r="T47" s="198"/>
      <c r="U47" s="189"/>
      <c r="V47" s="189"/>
      <c r="W47" s="189"/>
      <c r="X47" s="185"/>
      <c r="Y47" s="185"/>
      <c r="Z47" s="185"/>
      <c r="AA47" s="71"/>
      <c r="AB47" s="38"/>
      <c r="AC47" s="75"/>
      <c r="AD47" s="75"/>
      <c r="AE47" s="75"/>
      <c r="AF47" s="75"/>
      <c r="AG47" s="75"/>
      <c r="AH47" s="75"/>
      <c r="AI47" s="75"/>
      <c r="AJ47" s="75"/>
      <c r="AK47" s="75"/>
      <c r="AL47" s="75"/>
      <c r="AM47" s="75"/>
      <c r="AN47" s="75"/>
      <c r="AO47" s="75"/>
      <c r="AP47" s="75"/>
      <c r="AQ47" s="75"/>
      <c r="AR47" s="75"/>
      <c r="AS47" s="75"/>
      <c r="AT47" s="75"/>
      <c r="AU47" s="38"/>
      <c r="AV47" s="38"/>
      <c r="AW47" s="38"/>
      <c r="AX47" s="38"/>
      <c r="AY47" s="38"/>
      <c r="AZ47" s="38"/>
      <c r="BA47" s="38"/>
      <c r="BB47" s="38"/>
      <c r="BC47" s="38"/>
      <c r="BD47" s="38"/>
    </row>
    <row r="48" spans="1:56" ht="18.95" customHeight="1" x14ac:dyDescent="0.25">
      <c r="A48" s="71"/>
      <c r="B48" s="212" t="str">
        <f>VLOOKUP("B",Table_SummaryPots[],MATCH(Table_SummaryPots[[#Headers],[Summary Pots]],Table_SummaryPots[#Headers],0),FALSE)</f>
        <v>Transportation &amp; Accommodation</v>
      </c>
      <c r="C48" s="212"/>
      <c r="D48" s="212"/>
      <c r="E48" s="212"/>
      <c r="F48" s="42">
        <f ca="1">Total_TransAccomm</f>
        <v>0</v>
      </c>
      <c r="G48" s="72"/>
      <c r="H48" s="192" t="s">
        <v>69</v>
      </c>
      <c r="I48" s="192"/>
      <c r="J48" s="192"/>
      <c r="K48" s="192"/>
      <c r="L48" s="192"/>
      <c r="M48" s="230">
        <f ca="1">IF(SUM(ClaimAllocation_AmountArray)=Total_Eligible,Total_Payable,"-err-")</f>
        <v>0</v>
      </c>
      <c r="N48" s="230"/>
      <c r="O48" s="73"/>
      <c r="P48" s="213"/>
      <c r="Q48" s="213"/>
      <c r="R48" s="199"/>
      <c r="S48" s="200"/>
      <c r="T48" s="201"/>
      <c r="U48" s="189"/>
      <c r="V48" s="189"/>
      <c r="W48" s="189"/>
      <c r="X48" s="185"/>
      <c r="Y48" s="185"/>
      <c r="Z48" s="185"/>
      <c r="AA48" s="71"/>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row>
    <row r="49" spans="1:56" ht="18.95" customHeight="1" x14ac:dyDescent="0.2">
      <c r="A49" s="71"/>
      <c r="B49" s="212" t="str">
        <f>+VLOOKUP("C",Table_SummaryPots[],MATCH(Table_SummaryPots[[#Headers],[Summary Pots]],Table_SummaryPots[#Headers],0),FALSE)</f>
        <v>Registration</v>
      </c>
      <c r="C49" s="212"/>
      <c r="D49" s="212"/>
      <c r="E49" s="212"/>
      <c r="F49" s="42">
        <f ca="1">Total_Registration</f>
        <v>0</v>
      </c>
      <c r="G49" s="71"/>
      <c r="H49" s="71"/>
      <c r="I49" s="71"/>
      <c r="J49" s="71"/>
      <c r="K49" s="71"/>
      <c r="L49" s="71"/>
      <c r="M49" s="71"/>
      <c r="N49" s="71"/>
      <c r="O49" s="71"/>
      <c r="P49" s="71"/>
      <c r="Q49" s="71"/>
      <c r="R49" s="71"/>
      <c r="S49" s="71"/>
      <c r="T49" s="71"/>
      <c r="U49" s="71"/>
      <c r="V49" s="71"/>
      <c r="W49" s="71"/>
      <c r="X49" s="71"/>
      <c r="Y49" s="71"/>
      <c r="Z49" s="71"/>
      <c r="AA49" s="71"/>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row>
    <row r="50" spans="1:56" ht="18.95" customHeight="1" x14ac:dyDescent="0.2">
      <c r="A50" s="71"/>
      <c r="B50" s="211" t="s">
        <v>384</v>
      </c>
      <c r="C50" s="211"/>
      <c r="D50" s="211"/>
      <c r="E50" s="211"/>
      <c r="F50" s="43">
        <f ca="1">Total_ExpenseClaimed</f>
        <v>0</v>
      </c>
      <c r="G50" s="71"/>
      <c r="H50" s="289" t="str">
        <f>VLOOKUP(VALUE("12"),Table_SectionNames[],MATCH(Table_SectionNames[[#Headers],[Section Header]],Table_SectionNames[#Headers],0),FALSE)</f>
        <v>Claim Status</v>
      </c>
      <c r="I50" s="290"/>
      <c r="J50" s="291"/>
      <c r="K50" s="287" t="str">
        <f ca="1">VLOOKUP(TRUE,Table_ClaimStatus[],MATCH(Table_ClaimStatus[[#Headers],[Message]],Table_ClaimStatus[#Headers],0),FALSE)</f>
        <v>Section 1. Payee Details in progress</v>
      </c>
      <c r="L50" s="288"/>
      <c r="M50" s="288"/>
      <c r="N50" s="288"/>
      <c r="O50" s="288"/>
      <c r="P50" s="288"/>
      <c r="Q50" s="288"/>
      <c r="R50" s="288"/>
      <c r="S50" s="288"/>
      <c r="T50" s="288"/>
      <c r="U50" s="288"/>
      <c r="V50" s="288"/>
      <c r="W50" s="71"/>
      <c r="X50" s="44" t="str">
        <f>VLOOKUP(VALUE("13"),Table_SectionNames[],MATCH(Table_SectionNames[[#Headers],[Section Header]],Table_SectionNames[#Headers],0),FALSE)</f>
        <v>HST</v>
      </c>
      <c r="Y50" s="45" t="s">
        <v>182</v>
      </c>
      <c r="Z50" s="45" t="s">
        <v>183</v>
      </c>
      <c r="AA50" s="71"/>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row>
    <row r="51" spans="1:56" ht="18.95" customHeight="1" x14ac:dyDescent="0.2">
      <c r="A51" s="71"/>
      <c r="B51" s="211" t="s">
        <v>386</v>
      </c>
      <c r="C51" s="211"/>
      <c r="D51" s="211"/>
      <c r="E51" s="211"/>
      <c r="F51" s="43">
        <f ca="1">Total_Eligible</f>
        <v>0</v>
      </c>
      <c r="G51" s="71"/>
      <c r="H51" s="286" t="s">
        <v>562</v>
      </c>
      <c r="I51" s="286"/>
      <c r="J51" s="286"/>
      <c r="K51" s="286"/>
      <c r="L51" s="286"/>
      <c r="M51" s="286"/>
      <c r="N51" s="286"/>
      <c r="O51" s="286"/>
      <c r="P51" s="286"/>
      <c r="Q51" s="286"/>
      <c r="R51" s="286"/>
      <c r="S51" s="286"/>
      <c r="T51" s="286"/>
      <c r="U51" s="286"/>
      <c r="V51" s="286"/>
      <c r="W51" s="71"/>
      <c r="X51" s="45" t="s">
        <v>184</v>
      </c>
      <c r="Y51" s="46" t="str">
        <f ca="1">IF(AND(IFERROR(VLOOKUP(Field13_TravelScope,Table_Range[],MATCH(Table_Range[[#Headers],[HST Calculation]],Table_Range[#Headers],0),FALSE),FALSE),OR(Field30_MaximumAmount="",ISBLANK(Field30_MaximumAmount),Field30_MaximumAmount=0,Field30_MaximumAmount&gt;Total_ExpenseClaimed)),
Total_ExpenseClaimed*HSTFedRebate,"N/A")</f>
        <v>N/A</v>
      </c>
      <c r="Z51" s="46" t="str">
        <f ca="1">IF(AND(IFERROR(VLOOKUP(Field13_TravelScope,Table_Range[],MATCH(Table_Range[[#Headers],[HST Calculation]],Table_Range[#Headers],0),FALSE),FALSE),OR(Field30_MaximumAmount="",ISBLANK(Field30_MaximumAmount),Field30_MaximumAmount=0,Field30_MaximumAmount&gt;Total_ExpenseClaimed)),
Total_ExpenseClaimed*HSTProvRebate,"N/A")</f>
        <v>N/A</v>
      </c>
      <c r="AA51" s="71"/>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row>
    <row r="52" spans="1:56" ht="18.95" customHeight="1" thickBot="1" x14ac:dyDescent="0.25">
      <c r="A52" s="71"/>
      <c r="B52" s="212" t="s">
        <v>387</v>
      </c>
      <c r="C52" s="212"/>
      <c r="D52" s="212"/>
      <c r="E52" s="212"/>
      <c r="F52" s="42">
        <f>Total_Advance</f>
        <v>0</v>
      </c>
      <c r="G52" s="71"/>
      <c r="H52" s="286"/>
      <c r="I52" s="286"/>
      <c r="J52" s="286"/>
      <c r="K52" s="286"/>
      <c r="L52" s="286"/>
      <c r="M52" s="286"/>
      <c r="N52" s="286"/>
      <c r="O52" s="286"/>
      <c r="P52" s="286"/>
      <c r="Q52" s="286"/>
      <c r="R52" s="286"/>
      <c r="S52" s="286"/>
      <c r="T52" s="286"/>
      <c r="U52" s="286"/>
      <c r="V52" s="286"/>
      <c r="W52" s="71"/>
      <c r="X52" s="47" t="s">
        <v>185</v>
      </c>
      <c r="Y52" s="244" t="str">
        <f ca="1">IF(AND(IFERROR(VLOOKUP(Field13_TravelScope,Table_Range[],MATCH(Table_Range[[#Headers],[HST Calculation]],Table_Range[#Headers],0),FALSE),FALSE),OR(Field30_MaximumAmount="",ISBLANK(Field30_MaximumAmount),Field30_MaximumAmount=0,Field30_MaximumAmount&gt;Total_ExpenseClaimed)),
Total_ExpenseClaimed*(HSTTotal-(HSTFedRebate+HSTProvRebate)),"N/A")</f>
        <v>N/A</v>
      </c>
      <c r="Z52" s="245"/>
      <c r="AA52" s="71"/>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row>
    <row r="53" spans="1:56" ht="18.95" customHeight="1" thickTop="1" x14ac:dyDescent="0.2">
      <c r="A53" s="71"/>
      <c r="B53" s="211" t="s">
        <v>69</v>
      </c>
      <c r="C53" s="211"/>
      <c r="D53" s="211"/>
      <c r="E53" s="211"/>
      <c r="F53" s="43">
        <f ca="1">Total_Payable</f>
        <v>0</v>
      </c>
      <c r="G53" s="71"/>
      <c r="H53" s="286"/>
      <c r="I53" s="286"/>
      <c r="J53" s="286"/>
      <c r="K53" s="286"/>
      <c r="L53" s="286"/>
      <c r="M53" s="286"/>
      <c r="N53" s="286"/>
      <c r="O53" s="286"/>
      <c r="P53" s="286"/>
      <c r="Q53" s="286"/>
      <c r="R53" s="286"/>
      <c r="S53" s="286"/>
      <c r="T53" s="286"/>
      <c r="U53" s="286"/>
      <c r="V53" s="286"/>
      <c r="W53" s="71"/>
      <c r="X53" s="48" t="s">
        <v>8</v>
      </c>
      <c r="Y53" s="246" t="str">
        <f ca="1">IF(AND(IFERROR(VLOOKUP(Field13_TravelScope,Table_Range[],MATCH(Table_Range[[#Headers],[HST Calculation]],Table_Range[#Headers],0),FALSE),FALSE),OR(Field30_MaximumAmount="",ISBLANK(Field30_MaximumAmount),Field30_MaximumAmount=0,Field30_MaximumAmount&gt;Total_ExpenseClaimed)),
Total_ExpenseClaimed*HSTTotal,"N/A")</f>
        <v>N/A</v>
      </c>
      <c r="Z53" s="247"/>
      <c r="AA53" s="71"/>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row>
    <row r="54" spans="1:56" ht="15" customHeight="1" x14ac:dyDescent="0.2">
      <c r="A54" s="71"/>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1"/>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row>
    <row r="55" spans="1:56" x14ac:dyDescent="0.2">
      <c r="A55" s="38"/>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row>
    <row r="56" spans="1:56"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row>
    <row r="57" spans="1:56"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row>
    <row r="58" spans="1:56"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row>
    <row r="59" spans="1:56" ht="15.75" x14ac:dyDescent="0.25">
      <c r="A59" s="38"/>
      <c r="B59" s="38"/>
      <c r="C59" s="38"/>
      <c r="D59" s="38"/>
      <c r="E59" s="38"/>
      <c r="F59" s="38"/>
      <c r="G59" s="38"/>
      <c r="H59" s="39"/>
      <c r="I59" s="39"/>
      <c r="J59" s="39"/>
      <c r="K59" s="39"/>
      <c r="L59" s="39"/>
      <c r="M59" s="39"/>
      <c r="N59" s="39"/>
      <c r="O59" s="39"/>
      <c r="P59" s="39"/>
      <c r="Q59" s="39"/>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row>
    <row r="60" spans="1:56" ht="15.75" x14ac:dyDescent="0.25">
      <c r="A60" s="38"/>
      <c r="B60" s="38"/>
      <c r="C60" s="38"/>
      <c r="D60" s="38"/>
      <c r="E60" s="38"/>
      <c r="F60" s="38"/>
      <c r="G60" s="38"/>
      <c r="H60" s="39"/>
      <c r="I60" s="39"/>
      <c r="J60" s="39"/>
      <c r="K60" s="39"/>
      <c r="L60" s="39"/>
      <c r="M60" s="39"/>
      <c r="N60" s="39"/>
      <c r="O60" s="39"/>
      <c r="P60" s="39"/>
      <c r="Q60" s="39"/>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row>
    <row r="61" spans="1:56" x14ac:dyDescent="0.2">
      <c r="A61" s="38"/>
      <c r="B61" s="38"/>
      <c r="C61" s="38"/>
      <c r="D61" s="38"/>
      <c r="E61" s="38"/>
      <c r="F61" s="38"/>
      <c r="G61" s="38"/>
      <c r="H61" s="38"/>
      <c r="I61" s="38"/>
      <c r="J61" s="38"/>
      <c r="K61" s="38"/>
      <c r="L61" s="38"/>
      <c r="M61" s="38"/>
      <c r="N61" s="38"/>
      <c r="O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row>
    <row r="62" spans="1:56"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row>
    <row r="63" spans="1:56"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row>
    <row r="64" spans="1:56"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row>
    <row r="65" spans="1:56"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row>
    <row r="66" spans="1:56"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row>
    <row r="67" spans="1:56"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row>
    <row r="68" spans="1:56"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row>
    <row r="69" spans="1:56"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row>
    <row r="70" spans="1:56"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row>
    <row r="71" spans="1:56"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row>
    <row r="72" spans="1:56"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row>
    <row r="73" spans="1:56"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row>
    <row r="74" spans="1:56"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row>
    <row r="75" spans="1:56"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row>
    <row r="76" spans="1:56"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row>
    <row r="77" spans="1:56"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row>
    <row r="78" spans="1:56"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row>
    <row r="79" spans="1:56"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row>
    <row r="80" spans="1:56"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row>
    <row r="81" spans="1:56"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row>
    <row r="82" spans="1:56"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row>
    <row r="83" spans="1:56"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row>
    <row r="84" spans="1:56"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row>
    <row r="85" spans="1:56"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row>
    <row r="86" spans="1:56"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row>
    <row r="87" spans="1:56"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row>
    <row r="88" spans="1:56"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row>
    <row r="89" spans="1:56"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row>
    <row r="90" spans="1:56"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row>
    <row r="91" spans="1:56"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row>
    <row r="92" spans="1:56"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row>
    <row r="93" spans="1:56"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row>
    <row r="94" spans="1:56"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row>
    <row r="95" spans="1:56"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row>
    <row r="96" spans="1:56"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row>
    <row r="97" spans="1:56"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row>
    <row r="98" spans="1:56"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row>
  </sheetData>
  <sheetProtection password="EDC4" sheet="1" objects="1" scenarios="1"/>
  <mergeCells count="202">
    <mergeCell ref="X6:Z9"/>
    <mergeCell ref="R6:V9"/>
    <mergeCell ref="H12:M12"/>
    <mergeCell ref="H20:M20"/>
    <mergeCell ref="H23:I23"/>
    <mergeCell ref="H22:I22"/>
    <mergeCell ref="H21:I21"/>
    <mergeCell ref="J23:M23"/>
    <mergeCell ref="J22:M22"/>
    <mergeCell ref="J21:M21"/>
    <mergeCell ref="H15:M15"/>
    <mergeCell ref="T16:U16"/>
    <mergeCell ref="T17:U17"/>
    <mergeCell ref="T18:U18"/>
    <mergeCell ref="T19:U19"/>
    <mergeCell ref="T20:U20"/>
    <mergeCell ref="T21:U21"/>
    <mergeCell ref="P11:Q12"/>
    <mergeCell ref="T14:U14"/>
    <mergeCell ref="V13:W13"/>
    <mergeCell ref="V14:W14"/>
    <mergeCell ref="R11:U11"/>
    <mergeCell ref="P18:Q18"/>
    <mergeCell ref="D8:P9"/>
    <mergeCell ref="D6:P7"/>
    <mergeCell ref="B6:C9"/>
    <mergeCell ref="H51:V53"/>
    <mergeCell ref="K50:V50"/>
    <mergeCell ref="H50:J50"/>
    <mergeCell ref="H11:M11"/>
    <mergeCell ref="C17:D17"/>
    <mergeCell ref="C23:F24"/>
    <mergeCell ref="C22:F22"/>
    <mergeCell ref="C21:F21"/>
    <mergeCell ref="C32:F32"/>
    <mergeCell ref="C31:F31"/>
    <mergeCell ref="C30:F30"/>
    <mergeCell ref="C29:F29"/>
    <mergeCell ref="C28:F28"/>
    <mergeCell ref="C27:F27"/>
    <mergeCell ref="T37:W37"/>
    <mergeCell ref="C38:F38"/>
    <mergeCell ref="H25:H38"/>
    <mergeCell ref="C12:F12"/>
    <mergeCell ref="C13:F13"/>
    <mergeCell ref="C16:F16"/>
    <mergeCell ref="H16:M18"/>
    <mergeCell ref="T22:U22"/>
    <mergeCell ref="C37:F37"/>
    <mergeCell ref="C36:F36"/>
    <mergeCell ref="C35:F35"/>
    <mergeCell ref="I29:J29"/>
    <mergeCell ref="I28:J28"/>
    <mergeCell ref="I27:J27"/>
    <mergeCell ref="I25:J26"/>
    <mergeCell ref="R32:S32"/>
    <mergeCell ref="R31:S31"/>
    <mergeCell ref="R30:S30"/>
    <mergeCell ref="R29:S29"/>
    <mergeCell ref="R28:S28"/>
    <mergeCell ref="R27:S27"/>
    <mergeCell ref="K27:L27"/>
    <mergeCell ref="R34:S34"/>
    <mergeCell ref="K34:L34"/>
    <mergeCell ref="M32:Q32"/>
    <mergeCell ref="M31:Q31"/>
    <mergeCell ref="H13:M14"/>
    <mergeCell ref="B26:F26"/>
    <mergeCell ref="M25:Q26"/>
    <mergeCell ref="O11:O23"/>
    <mergeCell ref="P22:Q22"/>
    <mergeCell ref="P21:Q21"/>
    <mergeCell ref="P20:Q20"/>
    <mergeCell ref="P19:Q19"/>
    <mergeCell ref="C15:F15"/>
    <mergeCell ref="B11:F11"/>
    <mergeCell ref="C18:F18"/>
    <mergeCell ref="E17:F17"/>
    <mergeCell ref="P17:Q17"/>
    <mergeCell ref="P16:Q16"/>
    <mergeCell ref="P15:Q15"/>
    <mergeCell ref="P14:Q14"/>
    <mergeCell ref="P13:Q13"/>
    <mergeCell ref="B23:B24"/>
    <mergeCell ref="C19:F19"/>
    <mergeCell ref="E20:F20"/>
    <mergeCell ref="C20:D20"/>
    <mergeCell ref="Y52:Z52"/>
    <mergeCell ref="Y53:Z53"/>
    <mergeCell ref="V12:W12"/>
    <mergeCell ref="T12:U12"/>
    <mergeCell ref="Z11:Z12"/>
    <mergeCell ref="P23:Y23"/>
    <mergeCell ref="H45:I45"/>
    <mergeCell ref="H44:I44"/>
    <mergeCell ref="H43:I43"/>
    <mergeCell ref="H42:I42"/>
    <mergeCell ref="J45:L45"/>
    <mergeCell ref="J44:L44"/>
    <mergeCell ref="J43:L43"/>
    <mergeCell ref="J42:L42"/>
    <mergeCell ref="I38:Y38"/>
    <mergeCell ref="I36:J36"/>
    <mergeCell ref="I35:J35"/>
    <mergeCell ref="I34:J34"/>
    <mergeCell ref="V19:W19"/>
    <mergeCell ref="V20:W20"/>
    <mergeCell ref="V21:W21"/>
    <mergeCell ref="R25:S26"/>
    <mergeCell ref="T32:W32"/>
    <mergeCell ref="T15:U15"/>
    <mergeCell ref="A1:B2"/>
    <mergeCell ref="A3:B4"/>
    <mergeCell ref="C3:AA4"/>
    <mergeCell ref="C1:AA2"/>
    <mergeCell ref="M48:N48"/>
    <mergeCell ref="M47:N47"/>
    <mergeCell ref="M46:N46"/>
    <mergeCell ref="M45:N45"/>
    <mergeCell ref="M44:N44"/>
    <mergeCell ref="M43:N43"/>
    <mergeCell ref="M42:N42"/>
    <mergeCell ref="H41:N41"/>
    <mergeCell ref="H47:J47"/>
    <mergeCell ref="V11:Y11"/>
    <mergeCell ref="V22:W22"/>
    <mergeCell ref="T13:U13"/>
    <mergeCell ref="H46:L46"/>
    <mergeCell ref="B46:F46"/>
    <mergeCell ref="C14:F14"/>
    <mergeCell ref="M30:Q30"/>
    <mergeCell ref="M29:Q29"/>
    <mergeCell ref="M28:Q28"/>
    <mergeCell ref="K32:L32"/>
    <mergeCell ref="K31:L31"/>
    <mergeCell ref="B53:E53"/>
    <mergeCell ref="B52:E52"/>
    <mergeCell ref="B51:E51"/>
    <mergeCell ref="B50:E50"/>
    <mergeCell ref="B49:E49"/>
    <mergeCell ref="B48:E48"/>
    <mergeCell ref="B47:E47"/>
    <mergeCell ref="P43:Q45"/>
    <mergeCell ref="P46:Q48"/>
    <mergeCell ref="K47:L47"/>
    <mergeCell ref="B43:B44"/>
    <mergeCell ref="C43:F44"/>
    <mergeCell ref="T30:W30"/>
    <mergeCell ref="T29:W29"/>
    <mergeCell ref="T28:W28"/>
    <mergeCell ref="T27:W27"/>
    <mergeCell ref="T25:W26"/>
    <mergeCell ref="H48:L48"/>
    <mergeCell ref="R36:S36"/>
    <mergeCell ref="R35:S35"/>
    <mergeCell ref="I37:J37"/>
    <mergeCell ref="U46:W48"/>
    <mergeCell ref="R46:T48"/>
    <mergeCell ref="R43:T45"/>
    <mergeCell ref="R42:T42"/>
    <mergeCell ref="U42:W42"/>
    <mergeCell ref="K30:L30"/>
    <mergeCell ref="K29:L29"/>
    <mergeCell ref="K28:L28"/>
    <mergeCell ref="I32:J32"/>
    <mergeCell ref="I31:J31"/>
    <mergeCell ref="I30:J30"/>
    <mergeCell ref="M27:Q27"/>
    <mergeCell ref="R33:S33"/>
    <mergeCell ref="X43:Z45"/>
    <mergeCell ref="K37:L37"/>
    <mergeCell ref="M37:Q37"/>
    <mergeCell ref="R37:S37"/>
    <mergeCell ref="P41:Z41"/>
    <mergeCell ref="P42:Q42"/>
    <mergeCell ref="U43:W45"/>
    <mergeCell ref="X46:Z48"/>
    <mergeCell ref="T36:W36"/>
    <mergeCell ref="V15:W15"/>
    <mergeCell ref="V16:W16"/>
    <mergeCell ref="V17:W17"/>
    <mergeCell ref="V18:W18"/>
    <mergeCell ref="X42:Z42"/>
    <mergeCell ref="K36:L36"/>
    <mergeCell ref="K35:L35"/>
    <mergeCell ref="B41:F41"/>
    <mergeCell ref="B42:E42"/>
    <mergeCell ref="M36:Q36"/>
    <mergeCell ref="M35:Q35"/>
    <mergeCell ref="T35:W35"/>
    <mergeCell ref="K33:L33"/>
    <mergeCell ref="B34:F34"/>
    <mergeCell ref="I33:J33"/>
    <mergeCell ref="Z25:Z26"/>
    <mergeCell ref="K25:L26"/>
    <mergeCell ref="M34:Q34"/>
    <mergeCell ref="M33:Q33"/>
    <mergeCell ref="T34:W34"/>
    <mergeCell ref="T33:W33"/>
    <mergeCell ref="X25:X26"/>
    <mergeCell ref="Y25:Y26"/>
    <mergeCell ref="T31:W31"/>
  </mergeCells>
  <conditionalFormatting sqref="Y51:Z53">
    <cfRule type="expression" dxfId="155" priority="22" stopIfTrue="1">
      <formula>Y51="N/A"</formula>
    </cfRule>
  </conditionalFormatting>
  <conditionalFormatting sqref="C36">
    <cfRule type="expression" dxfId="154" priority="11" stopIfTrue="1">
      <formula>HideAdvanceAmount</formula>
    </cfRule>
  </conditionalFormatting>
  <conditionalFormatting sqref="A5:AA54">
    <cfRule type="expression" dxfId="153" priority="60">
      <formula>IFERROR(FIND(CELL("Address",A5)&amp;",",INDEX(ErrorHighlighter_ReferenceArray,MATCH(TRUE,ErrorHighlighter_TrueArray,0)))&gt;0,FALSE)</formula>
    </cfRule>
  </conditionalFormatting>
  <conditionalFormatting sqref="C38">
    <cfRule type="expression" dxfId="152" priority="10" stopIfTrue="1">
      <formula>HideRequester</formula>
    </cfRule>
  </conditionalFormatting>
  <conditionalFormatting sqref="K50">
    <cfRule type="expression" dxfId="151" priority="5">
      <formula>INDEX(Lookup_StatusColour,MATCH(TRUE,Lookup_StatusCalc,0),1)</formula>
    </cfRule>
  </conditionalFormatting>
  <conditionalFormatting sqref="C35:C38">
    <cfRule type="expression" dxfId="150" priority="3" stopIfTrue="1">
      <formula>HideClaimDetails</formula>
    </cfRule>
  </conditionalFormatting>
  <conditionalFormatting sqref="X27:X37">
    <cfRule type="expression" dxfId="149" priority="2">
      <formula>IFERROR(FIND(MID(CELL("address",X27),FIND("$",CELL("address",X27),1),LEN(CELL("address",X27))-FIND("$",CELL("address",X27))+1)&amp;",",HideReceiptFields,1)&gt;0,FALSE)</formula>
    </cfRule>
  </conditionalFormatting>
  <conditionalFormatting sqref="Y27:Y37">
    <cfRule type="expression" dxfId="148" priority="1">
      <formula>IFERROR(FIND(MID(CELL("address",Y27),FIND("$",CELL("address",Y27),1),LEN(CELL("address",Y27))-FIND("$",CELL("address",Y27))+1)&amp;",",Hide_KMFields,1)&gt;0,FALSE)</formula>
    </cfRule>
  </conditionalFormatting>
  <dataValidations count="46">
    <dataValidation type="date" operator="lessThan" allowBlank="1" showInputMessage="1" showErrorMessage="1" errorTitle="Submission Date Entry Error" error="To be eligible for reimbursement travel claims must be submitted within 3 months of the 'Travel End Date'._x000a__x000a_If you have not yet entered travel dates, do that step first in '2. Travel Details'." promptTitle="Date Error" sqref="U43:W45">
      <formula1>SubmissionDateVal_End</formula1>
    </dataValidation>
    <dataValidation type="list" allowBlank="1" showInputMessage="1" showErrorMessage="1" sqref="K27:L35 K36:L37">
      <formula1>Dropdown_Expenses</formula1>
    </dataValidation>
    <dataValidation type="list" allowBlank="1" showInputMessage="1" showErrorMessage="1" errorTitle="Meal Date Entry Error" error="Select a 'Meal Date' from the in-cell dropdown list. _x000a__x000a_The selected date must be between the 'Travel Start Date' and 'Travel End Date'. _x000a__x000a_Each day can only be used once." sqref="P13:Q22">
      <formula1>Dropdown_ReceiptDates</formula1>
    </dataValidation>
    <dataValidation type="date" allowBlank="1" showInputMessage="1" showErrorMessage="1" errorTitle="Incorrect D.O.B. Format" error="Enter D.O.B. (date of birth) in any format recognizable by Excel. _x000a__x000a_For example, enter in full (ie. June 1, 1970) or enter numerically in DD/MM/YY or YYYY/MM/DD formats._x000a__x000a_Date must be between 1900/01/01 and today's date." sqref="C20:D20">
      <formula1>DATE(1900,1,1)</formula1>
      <formula2>TODAY()</formula2>
    </dataValidation>
    <dataValidation type="list" allowBlank="1" showInputMessage="1" showErrorMessage="1" errorTitle="Purpose Entry Error" error="Select a 'Purpose' from the in-cell dropdown list. _x000a__x000a_This field is to help determine whether or not you need to include an 'Application for Conference Attendance' with your claim." sqref="C37:F37">
      <formula1>Dropdown_Purpose</formula1>
    </dataValidation>
    <dataValidation type="list" allowBlank="1" showInputMessage="1" showErrorMessage="1" errorTitle="Requested By Entry Error" error="Select 'Requested By' from the in-cell dropdown list. _x000a__x000a_This field identifies whether or not conference travel was initiated by the organization (NOSM) or the payee." sqref="C38:F38">
      <formula1>Dropdown_Requester</formula1>
    </dataValidation>
    <dataValidation type="list" allowBlank="1" showInputMessage="1" showErrorMessage="1" errorTitle="Payment Options Entry Error" error="Select a 'Payment Option' from the in-cell dropdown list._x000a__x000a_If you have not been paid by NOSM before, ensure that you are including direct deposit information along with your submission." sqref="C23:F24">
      <formula1>Dropdown_PaymentOptions</formula1>
    </dataValidation>
    <dataValidation type="custom" allowBlank="1" showInputMessage="1" showErrorMessage="1" sqref="AC19">
      <formula1>IFERROR(AND(FIND("@",Field07B_Email,1)&gt;0,FIND(".",Field07B_Email,FIND("@",Field07B_Email,1))&gt;0,LEN(Field07B_Email)-FIND(".",Field07B_Email,FIND("@",Field07B_Email,1))&gt;=2),FALSE)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Address must be no more than 40 characters." sqref="C19:F19">
      <formula1>IFERROR(AND(FIND("@",Field07B_Email,1)&gt;0,FIND(".",Field07B_Email,FIND("@",Field07B_Email,1))&gt;0,LEN(Field07B_Email)-FIND(".",Field07B_Email,FIND("@",Field07B_Email,1))&gt;=2,LEN(Field07B_Email)&lt;=40),FALSE)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Email' must be no more than 40 characters." sqref="J22:M22">
      <formula1>IFERROR(AND(FIND("@",Field24_ContactEmail,1)&gt;0,FIND(".",Field24_ContactEmail,FIND("@",Field24_ContactEmail,1))&gt;0,LEN(Field24_ContactEmail)-FIND(".",Field24_ContactEmail,FIND("@",Field24_ContactEmail,1))&gt;=2,LEN(Field24_ContactEmail)&lt;=40),FALSE)</formula1>
    </dataValidation>
    <dataValidation type="list" allowBlank="1" showInputMessage="1" showErrorMessage="1" errorTitle="Address Type Error" error="Select an 'Address Type' from the in-cell dropdown list._x000a__x000a_This is a required field." sqref="C18:F18">
      <formula1>Dropdown_AddressType</formula1>
    </dataValidation>
    <dataValidation type="list" allowBlank="1" showInputMessage="1" showErrorMessage="1" errorTitle="Province Entry Error" error="If your address is in Canada, select your 'Province' abbreviation from the in-cell dropdown list. _x000a__x000a_If your address is outside of Canada, select 'Not in Canada' and include your country in the 'Additional Details' field." sqref="C17:D17">
      <formula1>Dropdown_ProvinceAbbr</formula1>
    </dataValidation>
    <dataValidation type="list" allowBlank="1" showInputMessage="1" showErrorMessage="1" errorTitle="Portfolio Entry Error" error="Select a 'Portfolio' from the in-cell dropdown list. " sqref="C21:F21">
      <formula1>Dropdown_SubmittingPortfolio</formula1>
    </dataValidation>
    <dataValidation type="list" allowBlank="1" showInputMessage="1" showErrorMessage="1" errorTitle="Payee Type Entry Error" error="Select a 'Payee Type' from the in-cell dropdown list. _x000a__x000a_If you are submitting as a guest, choose 'Staff &amp; Non-learner'._x000a__x000a_This is a required field." sqref="C22:F22">
      <formula1>Dropdown_PayeeType</formula1>
    </dataValidation>
    <dataValidation type="list" allowBlank="1" showInputMessage="1" showErrorMessage="1" errorTitle="Range Entry Error" error="Select a 'Range' from the in-cell dropdown list. _x000a__x000a_This field is required to help us determine HST rebate eligibility. " sqref="C29:F29">
      <formula1>Dropdown_Range</formula1>
    </dataValidation>
    <dataValidation type="list" allowBlank="1" showInputMessage="1" showErrorMessage="1" errorTitle="Trip Type Entry Error" error="Select a 'Trip Type' from the in-cell dropdown list." sqref="C30:F30">
      <formula1>Dropdown_TripType</formula1>
    </dataValidation>
    <dataValidation type="list" allowBlank="1" showInputMessage="1" showErrorMessage="1" errorTitle="Travel End Date Entry Error" error="Select a 'Travel End Date' from the in-cell dropdown list. _x000a__x000a_The 'Travel End Date' must be no more than 60 days after the 'Travel Start Date'. _x000a__x000a_Ensure that you are submitting seperate travel claims for each travel occurence." sqref="C32:F32">
      <formula1>Dropdown_TravelEndDates</formula1>
    </dataValidation>
    <dataValidation type="whole" allowBlank="1" showInputMessage="1" showErrorMessage="1" sqref="H42:I46 J46:L46">
      <formula1>100000000000000</formula1>
      <formula2>999999999999990</formula2>
    </dataValidation>
    <dataValidation type="whole" allowBlank="1" showInputMessage="1" showErrorMessage="1" errorTitle="Invalid GL Code" error="Enter a valid 15 digit budget code. _x000a__x000a_The code must be entered without spaces, dashes or any special characters (ie. 102100006300000)." sqref="J42:L45">
      <formula1>100000000000000</formula1>
      <formula2>999999999999990</formula2>
    </dataValidation>
    <dataValidation type="textLength" operator="lessThanOrEqual" allowBlank="1" showInputMessage="1" showErrorMessage="1" errorTitle="Description Length Exceded" error="Enter a description that is no more than 30 characters long." sqref="M27:Q37">
      <formula1>30</formula1>
    </dataValidation>
    <dataValidation type="whole" allowBlank="1" showInputMessage="1" showErrorMessage="1" errorTitle="KM Error" error="Enter the number of kilometers (km) rounded to the nearest full kilometer. _x000a__x000a_This value should correspond to the 'Kilometer Matrix'. If not included there, support amount with a Goole Map summary." sqref="Y27:Y37">
      <formula1>1</formula1>
      <formula2>9999999</formula2>
    </dataValidation>
    <dataValidation type="decimal" allowBlank="1" showInputMessage="1" showErrorMessage="1" errorTitle="Receipt Amount Error" error="Enter the value of the receipt using the format '0.00'. _x000a__x000a_The receipt amount must be greater than zero and should be rounded to the nearest cent." sqref="X27:X37">
      <formula1>0.01</formula1>
      <formula2>99999.99</formula2>
    </dataValidation>
    <dataValidation type="textLength" operator="lessThanOrEqual" allowBlank="1" showInputMessage="1" showErrorMessage="1" errorTitle="Details Entry Error" error="Enter a location that is no more than 20 characters long. " sqref="R27:W37">
      <formula1>20</formula1>
    </dataValidation>
    <dataValidation type="list" allowBlank="1" showInputMessage="1" showErrorMessage="1" errorTitle="Date Entry Error" error="Select a date from the in-cell dropdown list. _x000a__x000a_The selected date must be between your travel start date and your travel end date." sqref="I27:J37">
      <formula1>Dropdown_ReceiptDates</formula1>
    </dataValidation>
    <dataValidation type="textLength" operator="lessThan" allowBlank="1" showInputMessage="1" showErrorMessage="1" errorTitle="Prefix Entry Error" error="Select a 'Prefix' from the in-cell dropdown list._x000a__x000a_This is a required field." sqref="C12:F12">
      <formula1>15</formula1>
    </dataValidation>
    <dataValidation type="textLength" operator="lessThanOrEqual" allowBlank="1" showInputMessage="1" showErrorMessage="1" errorTitle="First Name Entry Error" error="Enter a 'First Name' that is no more than 40 characters long. _x000a__x000a_This is a required field." sqref="C13:F13">
      <formula1>40</formula1>
    </dataValidation>
    <dataValidation type="textLength" operator="lessThanOrEqual" allowBlank="1" showInputMessage="1" showErrorMessage="1" errorTitle="Last Name Entry Error" error="Enter a 'Last Name' that is no more than 40 characters long. _x000a__x000a_This is a required field." sqref="C14:F14">
      <formula1>40</formula1>
    </dataValidation>
    <dataValidation type="textLength" operator="lessThanOrEqual" allowBlank="1" showInputMessage="1" showErrorMessage="1" errorTitle="Address Entry Error" error="Enter an 'Address' that is no more than 40 characters long. _x000a__x000a_This is a required field._x000a__x000a_If your address is longer than 40 characters, include it as a note in 'Additional Details'." sqref="C15:F15">
      <formula1>40</formula1>
    </dataValidation>
    <dataValidation type="textLength" operator="lessThanOrEqual" allowBlank="1" showInputMessage="1" showErrorMessage="1" errorTitle="City Entry Error" error="Enter a 'City' that is no more than 40 characters long. _x000a__x000a_This is a required field." sqref="C16:F16">
      <formula1>40</formula1>
    </dataValidation>
    <dataValidation type="custom" operator="equal" allowBlank="1" showInputMessage="1" showErrorMessage="1" errorTitle="Postal Code Entry Error" error="Enter a valid Canadian postal code that is 7 characters in length and in the format &quot;&amp;#&amp; #&amp;#&quot; (where &amp; is a letter and # is a digit). Also ensure the space is included." sqref="E17:F17">
      <formula1>PostalValidated=TRUE</formula1>
    </dataValidation>
    <dataValidation type="whole" allowBlank="1" showInputMessage="1" showErrorMessage="1" errorTitle="Phone # Entry Error" error="Enter a 10 digit phone number._x000a__x000a_Enter the number only without any spaces or special characters (ie. 1234567890)._x000a__x000a_The field will format automatically to '(123) 456-7890'." sqref="E20:F20">
      <formula1>1000000000</formula1>
      <formula2>9999999999</formula2>
    </dataValidation>
    <dataValidation type="textLength" operator="lessThanOrEqual" allowBlank="1" showInputMessage="1" showErrorMessage="1" errorTitle="Leaving From Entry Error" error="Enter a 'Leaving From' location that is no more than 40 characters." sqref="C27:F27">
      <formula1>40</formula1>
    </dataValidation>
    <dataValidation type="textLength" operator="lessThanOrEqual" allowBlank="1" showInputMessage="1" showErrorMessage="1" errorTitle="Going To Entry Error" error="Enter a 'Going To' location that is no more than 40 characters." sqref="C28:F28">
      <formula1>40</formula1>
    </dataValidation>
    <dataValidation type="date" operator="greaterThan" allowBlank="1" showInputMessage="1" showErrorMessage="1" errorTitle="Travel Start Date Entry Error" error="Enter a 'Travel Start Date' in any format recognizable by Excel. This field must be a date value._x000a__x000a_For example, it could be entered in full (ie. January 1, 2000) or it can be entered as DD/MM/YYYY or YYYY/MM/DD." sqref="C31:F31">
      <formula1>DATE(2000,1,1)</formula1>
    </dataValidation>
    <dataValidation type="list" allowBlank="1" showInputMessage="1" showErrorMessage="1" errorTitle="Claim Type Entry Error" error="Select a 'Claim Type' from the in-cell dropdown list. " sqref="C35:F35">
      <formula1>Dropdown_ClaimType</formula1>
    </dataValidation>
    <dataValidation type="decimal" operator="greaterThan" allowBlank="1" showInputMessage="1" showErrorMessage="1" errorTitle="Advance Amount Entry Error" error="Enter an 'Advance Amount' that is greater than zero." sqref="C36:F36">
      <formula1>0</formula1>
    </dataValidation>
    <dataValidation type="textLength" operator="lessThanOrEqual" allowBlank="1" showInputMessage="1" showErrorMessage="1" errorTitle="Description Entry Error" error="Enter an explanation of why the travel is occurring. _x000a__x000a_The 'Description' is limited to 100 characters." sqref="H13:M14">
      <formula1>100</formula1>
    </dataValidation>
    <dataValidation type="textLength" operator="lessThanOrEqual" allowBlank="1" showInputMessage="1" showErrorMessage="1" errorTitle="Additional Details Entry Error" error="Enter any additional details that may help clarify your claim. _x000a__x000a_This is a free text field that is limited to 150 characters." sqref="H16:M18">
      <formula1>150</formula1>
    </dataValidation>
    <dataValidation type="textLength" operator="lessThanOrEqual" allowBlank="1" showInputMessage="1" showErrorMessage="1" errorTitle="Contact Name Entry Error" error="Enter the first and last name for the contact for this claim if different than the 'Payee'._x000a__x000a_This field is limited to 40 characters." sqref="J21:M21">
      <formula1>40</formula1>
    </dataValidation>
    <dataValidation type="whole" allowBlank="1" showInputMessage="1" showErrorMessage="1" errorTitle="Phone # Entry Error" error="Enter the 10 digit phone number of the 'Contact'._x000a__x000a_Enter the number only without any spaces or special characters (ie. 1234567890)._x000a__x000a_The field will format automatically to '(123) 456-7890'." sqref="J23:M23">
      <formula1>1000000000</formula1>
      <formula2>9999999999</formula2>
    </dataValidation>
    <dataValidation type="decimal" allowBlank="1" showInputMessage="1" showErrorMessage="1" errorTitle="Meal Amount Entry Error" error="Enter a 'Meal Amount' greater than zero in the format  '0.00'._x000a__x000a_If this expense was incurred in a foreign currency, list the Canadian equivalent here and include support of the exchance rate in your documentation." sqref="R13:U22">
      <formula1>0.001</formula1>
      <formula2>99999.99</formula2>
    </dataValidation>
    <dataValidation type="decimal" allowBlank="1" showInputMessage="1" showErrorMessage="1" errorTitle="Maximum Amount Entry Error" error="Enter a 'Maximum Amount' greater than zero in the format '0.00'. _x000a__x000a_Ensure that the 'Maximum Amount' is less than the 'Total Expenses Claimed'." sqref="F42">
      <formula1>0.001</formula1>
      <formula2>99999.99</formula2>
    </dataValidation>
    <dataValidation type="textLength" operator="lessThanOrEqual" allowBlank="1" showInputMessage="1" showErrorMessage="1" errorTitle="Reason Entry Error" error="Enter a 'Reason' that is no more than 80 characters. _x000a__x000a_This field is to explain why a 'Maximum Amount' has been applied." sqref="C43:F44">
      <formula1>80</formula1>
    </dataValidation>
    <dataValidation type="decimal" allowBlank="1" showInputMessage="1" showErrorMessage="1" errorTitle="Allocation Amount Entry Error" error="Enter an 'Allocation Amount' that is greater than zero in the format '0.00'._x000a__x000a_The 'Total Expenses Eligible' needs to be exhaustively allocated to a valid GL code." sqref="M42:N45">
      <formula1>0.001</formula1>
      <formula2>99999.99</formula2>
    </dataValidation>
    <dataValidation type="textLength" operator="lessThanOrEqual" allowBlank="1" showInputMessage="1" showErrorMessage="1" errorTitle="Approver Name Entry Error" error="Enter the first and last name of the approver. _x000a__x000a_This is a free text field limited to 100 characters." sqref="R46:T48">
      <formula1>100</formula1>
    </dataValidation>
    <dataValidation type="date" operator="greaterThanOrEqual" allowBlank="1" showInputMessage="1" showErrorMessage="1" errorTitle="Approval Date Entry Error" error="Enter an 'Approval Date' that is equal to or greater than the 'Submission Date'." sqref="U46:W48">
      <formula1>Authorization_SubmissionDate</formula1>
    </dataValidation>
  </dataValidations>
  <printOptions horizontalCentered="1" verticalCentered="1"/>
  <pageMargins left="0.11811023622047245" right="0.11811023622047245" top="0.11811023622047245" bottom="0.11811023622047245" header="0" footer="0"/>
  <pageSetup scale="60" fitToHeight="0" orientation="landscape" r:id="rId1"/>
  <headerFooter>
    <oddFooter>&amp;R&amp;"Arial,Regular"&amp;8Original Print Date: &amp;D</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stopIfTrue="1" id="{663A69D3-955A-4D04-B4F3-25FB4122DDB0}">
            <xm:f>VLOOKUP(TRUE,Lookup_Error,MATCH('Error List'!$O$6,Lookup_ErrorHeaders,0),FALSE)</xm:f>
            <x14:dxf>
              <fill>
                <patternFill>
                  <bgColor rgb="FFFF4B4B"/>
                </patternFill>
              </fill>
            </x14:dxf>
          </x14:cfRule>
          <xm:sqref>C1</xm:sqref>
        </x14:conditionalFormatting>
        <x14:conditionalFormatting xmlns:xm="http://schemas.microsoft.com/office/excel/2006/main">
          <x14:cfRule type="expression" priority="59" stopIfTrue="1" id="{A523E523-312A-4F03-B1F2-1957806AD5FE}">
            <xm:f>VLOOKUP(TRUE,Lookup_Error,MATCH('Error List'!$S$6,Lookup_ErrorHeaders,0),FALSE)</xm:f>
            <x14:dxf>
              <fill>
                <patternFill>
                  <bgColor rgb="FFFFFF99"/>
                </patternFill>
              </fill>
            </x14:dxf>
          </x14:cfRule>
          <xm:sqref>C3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O18"/>
  <sheetViews>
    <sheetView workbookViewId="0">
      <selection activeCell="C2" sqref="C2"/>
    </sheetView>
  </sheetViews>
  <sheetFormatPr defaultRowHeight="15" x14ac:dyDescent="0.25"/>
  <cols>
    <col min="1" max="1" width="26.28515625" style="32" bestFit="1" customWidth="1"/>
    <col min="2" max="2" width="141.5703125" style="32" customWidth="1"/>
    <col min="3" max="3" width="2.85546875" style="32" customWidth="1"/>
    <col min="4" max="4" width="80.85546875" bestFit="1" customWidth="1"/>
    <col min="5" max="6" width="13.28515625" customWidth="1"/>
    <col min="7" max="7" width="38.28515625" customWidth="1"/>
    <col min="8" max="8" width="13.28515625" customWidth="1"/>
    <col min="9" max="9" width="13.28515625" style="32" customWidth="1"/>
    <col min="10" max="10" width="38.28515625" customWidth="1"/>
    <col min="11" max="11" width="18.7109375" customWidth="1"/>
    <col min="13" max="13" width="38.28515625" customWidth="1"/>
    <col min="14" max="14" width="13.140625" bestFit="1" customWidth="1"/>
  </cols>
  <sheetData>
    <row r="2" spans="1:15" x14ac:dyDescent="0.25">
      <c r="A2" s="26" t="s">
        <v>195</v>
      </c>
      <c r="B2" s="28" t="b">
        <f ca="1">OR(COUNTIFS(Table_ErrorList[Error Evaluation],TRUE,Table_ErrorList[Section '#],"98")&gt;0,COUNTIFS(Table_ErrorList[Error Evaluation],TRUE,Table_ErrorList[Section '#],"99")&gt;0)</f>
        <v>0</v>
      </c>
      <c r="C2" t="s">
        <v>1215</v>
      </c>
    </row>
    <row r="3" spans="1:15" ht="15" customHeight="1" x14ac:dyDescent="0.25">
      <c r="A3" s="364" t="s">
        <v>196</v>
      </c>
      <c r="B3" s="365" t="str">
        <f ca="1">IF($B$2=TRUE,CONCATENATE($B$7,CHAR(10),$B$8,CHAR(10),$B$9),"- - - - - -")</f>
        <v>- - - - - -</v>
      </c>
      <c r="C3"/>
    </row>
    <row r="4" spans="1:15" x14ac:dyDescent="0.25">
      <c r="A4" s="364"/>
      <c r="B4" s="365"/>
      <c r="C4"/>
      <c r="E4" s="78" t="s">
        <v>548</v>
      </c>
    </row>
    <row r="5" spans="1:15" x14ac:dyDescent="0.25">
      <c r="A5" s="364"/>
      <c r="B5" s="365"/>
      <c r="C5"/>
      <c r="E5" s="79">
        <v>85</v>
      </c>
    </row>
    <row r="6" spans="1:15" x14ac:dyDescent="0.25">
      <c r="D6" s="81" t="s">
        <v>557</v>
      </c>
      <c r="E6" s="80" t="s">
        <v>549</v>
      </c>
      <c r="F6" s="77" t="s">
        <v>547</v>
      </c>
      <c r="G6" s="77" t="s">
        <v>550</v>
      </c>
      <c r="H6" s="77" t="s">
        <v>553</v>
      </c>
      <c r="I6" s="77" t="s">
        <v>554</v>
      </c>
      <c r="J6" s="77" t="s">
        <v>551</v>
      </c>
      <c r="K6" s="77" t="s">
        <v>552</v>
      </c>
      <c r="L6" s="77" t="s">
        <v>554</v>
      </c>
      <c r="M6" s="77" t="s">
        <v>555</v>
      </c>
      <c r="N6" s="77" t="s">
        <v>556</v>
      </c>
      <c r="O6" s="77" t="s">
        <v>554</v>
      </c>
    </row>
    <row r="7" spans="1:15" ht="42" customHeight="1" x14ac:dyDescent="0.25">
      <c r="A7" s="83" t="s">
        <v>189</v>
      </c>
      <c r="B7" s="84" t="str">
        <f>IF(O7=TRUE,"",IF(L7=TRUE,M7,IF(I7=TRUE,J7,IF(E7=TRUE,G7,D7))))</f>
        <v xml:space="preserve">For  's select select travel from  to </v>
      </c>
      <c r="C7" s="85"/>
      <c r="D7" s="84" t="str">
        <f>CONCATENATE("For ",IF(ISBLANK(Field01_Prefix)=FALSE,TRIM(PROPER(Field01_Prefix))&amp;" ",""),TRIM(PROPER(Field02_FirstName))," ",TRIM(PROPER(Field03_LastName)),IF(RIGHT(Field03_LastName,1)="s","' ","'s "),TRIM(LOWER(LEFT(Field13_TravelScope,IFERROR(FIND(" ",Field13_TravelScope,1)-1,LEN(Field13_TravelScope)))))," ",TRIM(LOWER(Field14_TripType))," travel from ",PROPER(TRIM(Field11_DepartureCity))," to ",PROPER(TRIM(Field12_DestinationCity)))</f>
        <v xml:space="preserve">For  's select select travel from  to </v>
      </c>
      <c r="E7" s="86" t="b">
        <f>F7&gt;$E$5</f>
        <v>0</v>
      </c>
      <c r="F7" s="82">
        <f>LEN(D7)</f>
        <v>38</v>
      </c>
      <c r="G7" s="84" t="str">
        <f>REPLACE(D7,SEARCH(LOWER(LEFT(Field13_TravelScope,IFERROR(FIND(" ",Field13_TravelScope,1)-1,LEN(Field13_TravelScope))))&amp;" ",D7),LEN(LOWER(LEFT(Field13_TravelScope,IFERROR(FIND(" ",Field13_TravelScope,1)-1,LEN(Field13_TravelScope))))&amp;" "),"")</f>
        <v xml:space="preserve">For  's select travel from  to </v>
      </c>
      <c r="H7" s="87">
        <f>LEN(G7)</f>
        <v>31</v>
      </c>
      <c r="I7" s="87" t="b">
        <f>H7&gt;$E$5</f>
        <v>0</v>
      </c>
      <c r="J7" s="84" t="str">
        <f>IF(I7=TRUE,REPLACE(G7,SEARCH(Field14_TripType&amp;" ",G7),LEN(Field14_TripType&amp;" "),""),"")</f>
        <v/>
      </c>
      <c r="K7" s="82">
        <f>LEN(J7)</f>
        <v>0</v>
      </c>
      <c r="L7" s="82" t="b">
        <f>K7&gt;$E$5</f>
        <v>0</v>
      </c>
      <c r="M7" s="84" t="str">
        <f>IF(L7=TRUE,REPLACE(J7,SEARCH(" from ",J7),LEN(J7)-SEARCH(" from ",J7)+1,""),"")</f>
        <v/>
      </c>
      <c r="N7" s="82">
        <f>LEN(M7)</f>
        <v>0</v>
      </c>
      <c r="O7" s="82" t="b">
        <f>N7&gt;$E$5</f>
        <v>0</v>
      </c>
    </row>
    <row r="8" spans="1:15" ht="42" customHeight="1" x14ac:dyDescent="0.25">
      <c r="A8" s="83" t="s">
        <v>190</v>
      </c>
      <c r="B8" s="84" t="str">
        <f>IF(O8=TRUE,"",IF(L8=TRUE,M8,IF(I8=TRUE,J8,IF(E8=TRUE,G8,D8))))</f>
        <v>From January 0, 1900 to January 0, 1900 (1 days, 0 nights)</v>
      </c>
      <c r="C8" s="85"/>
      <c r="D8" s="84" t="str">
        <f>CONCATENATE("From ",
TEXT(Field15_TravelStartDate,"mmmm d, yyyy"),
" to ",
TEXT(Field16_TravelEndDate,"mmmm d, yyyy"),
" (",
TEXT(Field16_TravelEndDate-Field15_TravelStartDate+1,0),
" days, ",
TEXT(Field16_TravelEndDate-Field15_TravelStartDate,0),
" nights)")</f>
        <v>From January 0, 1900 to January 0, 1900 (1 days, 0 nights)</v>
      </c>
      <c r="E8" s="86" t="b">
        <f>F8&gt;$E$5</f>
        <v>0</v>
      </c>
      <c r="F8" s="82">
        <f>LEN(D8)</f>
        <v>58</v>
      </c>
      <c r="G8" s="84"/>
      <c r="H8" s="87">
        <f t="shared" ref="H8:H9" si="0">LEN(G8)</f>
        <v>0</v>
      </c>
      <c r="I8" s="87" t="b">
        <f t="shared" ref="I8:I9" si="1">H8&gt;$E$5</f>
        <v>0</v>
      </c>
      <c r="J8" s="84"/>
      <c r="K8" s="82">
        <f t="shared" ref="K8:K9" si="2">LEN(J8)</f>
        <v>0</v>
      </c>
      <c r="L8" s="82" t="b">
        <f t="shared" ref="L8:L9" si="3">K8&gt;$E$5</f>
        <v>0</v>
      </c>
      <c r="M8" s="84"/>
      <c r="N8" s="82"/>
      <c r="O8" s="82"/>
    </row>
    <row r="9" spans="1:15" ht="42" customHeight="1" x14ac:dyDescent="0.25">
      <c r="A9" s="83" t="s">
        <v>191</v>
      </c>
      <c r="B9" s="84" t="str">
        <f>IF(O9=TRUE,"",IF(L9=TRUE,M9,IF(I9=TRUE,J9,IF(E9=TRUE,G9,D9))))</f>
        <v>For: ''</v>
      </c>
      <c r="C9" s="85"/>
      <c r="D9" s="84" t="str">
        <f>CONCATENATE("For: ","'",Field21_Description,"'")</f>
        <v>For: ''</v>
      </c>
      <c r="E9" s="86" t="b">
        <f>F9&gt;$E$5</f>
        <v>0</v>
      </c>
      <c r="F9" s="82">
        <f>LEN(D9)</f>
        <v>7</v>
      </c>
      <c r="G9" s="84"/>
      <c r="H9" s="87">
        <f t="shared" si="0"/>
        <v>0</v>
      </c>
      <c r="I9" s="87" t="b">
        <f t="shared" si="1"/>
        <v>0</v>
      </c>
      <c r="J9" s="84"/>
      <c r="K9" s="82">
        <f t="shared" si="2"/>
        <v>0</v>
      </c>
      <c r="L9" s="82" t="b">
        <f t="shared" si="3"/>
        <v>0</v>
      </c>
      <c r="M9" s="84"/>
      <c r="N9" s="82"/>
      <c r="O9" s="82"/>
    </row>
    <row r="14" spans="1:15" x14ac:dyDescent="0.25">
      <c r="D14" s="32"/>
    </row>
    <row r="18" spans="4:4" x14ac:dyDescent="0.25">
      <c r="D18" s="32"/>
    </row>
  </sheetData>
  <sheetProtection password="EDC4" sheet="1" objects="1" scenarios="1" selectLockedCells="1" selectUnlockedCells="1"/>
  <mergeCells count="2">
    <mergeCell ref="A3:A5"/>
    <mergeCell ref="B3:B5"/>
  </mergeCells>
  <conditionalFormatting sqref="B2">
    <cfRule type="cellIs" dxfId="0" priority="1" operator="equal">
      <formula>TRUE</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25"/>
  <sheetViews>
    <sheetView workbookViewId="0">
      <selection activeCell="B4" sqref="B4"/>
    </sheetView>
  </sheetViews>
  <sheetFormatPr defaultRowHeight="15" x14ac:dyDescent="0.25"/>
  <sheetData>
    <row r="2" spans="2:2" ht="15.75" x14ac:dyDescent="0.25">
      <c r="B2" s="100" t="s">
        <v>194</v>
      </c>
    </row>
    <row r="3" spans="2:2" ht="15.75" x14ac:dyDescent="0.25">
      <c r="B3" s="35"/>
    </row>
    <row r="4" spans="2:2" ht="15.75" x14ac:dyDescent="0.25">
      <c r="B4" s="35" t="s">
        <v>1138</v>
      </c>
    </row>
    <row r="5" spans="2:2" ht="15.75" x14ac:dyDescent="0.25">
      <c r="B5" s="131"/>
    </row>
    <row r="7" spans="2:2" ht="15.75" x14ac:dyDescent="0.25">
      <c r="B7" s="131"/>
    </row>
    <row r="8" spans="2:2" s="32" customFormat="1" ht="15.75" x14ac:dyDescent="0.25">
      <c r="B8" s="131"/>
    </row>
    <row r="9" spans="2:2" s="32" customFormat="1" x14ac:dyDescent="0.25"/>
    <row r="10" spans="2:2" s="32" customFormat="1" ht="15.75" x14ac:dyDescent="0.25">
      <c r="B10" s="131"/>
    </row>
    <row r="11" spans="2:2" s="32" customFormat="1" ht="15.75" x14ac:dyDescent="0.25">
      <c r="B11" s="131"/>
    </row>
    <row r="13" spans="2:2" ht="15.75" x14ac:dyDescent="0.25">
      <c r="B13" s="35"/>
    </row>
    <row r="14" spans="2:2" ht="15.75" x14ac:dyDescent="0.25">
      <c r="B14" s="35"/>
    </row>
    <row r="25" spans="2:2" ht="15.75" x14ac:dyDescent="0.25">
      <c r="B25" s="131"/>
    </row>
  </sheetData>
  <sheetProtection password="EDC4"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300"/>
  </sheetPr>
  <dimension ref="A1:N119"/>
  <sheetViews>
    <sheetView showGridLines="0" workbookViewId="0">
      <pane ySplit="13" topLeftCell="A14" activePane="bottomLeft" state="frozen"/>
      <selection pane="bottomLeft" activeCell="B14" sqref="B14"/>
    </sheetView>
  </sheetViews>
  <sheetFormatPr defaultRowHeight="18" x14ac:dyDescent="0.25"/>
  <cols>
    <col min="1" max="1" width="42.42578125" style="132" customWidth="1"/>
    <col min="2" max="8" width="21.42578125" style="132" customWidth="1"/>
    <col min="9" max="9" width="21.140625" style="132" customWidth="1"/>
    <col min="10" max="10" width="24.85546875" style="132" customWidth="1"/>
    <col min="11" max="11" width="12.28515625" style="132" bestFit="1" customWidth="1"/>
    <col min="12" max="12" width="14" style="132" bestFit="1" customWidth="1"/>
    <col min="13" max="16384" width="9.140625" style="132"/>
  </cols>
  <sheetData>
    <row r="1" spans="1:11" x14ac:dyDescent="0.25">
      <c r="A1" s="149"/>
      <c r="B1" s="149"/>
      <c r="C1" s="149"/>
      <c r="D1" s="149"/>
      <c r="E1" s="149"/>
      <c r="F1" s="149"/>
      <c r="G1" s="149"/>
      <c r="H1" s="149"/>
    </row>
    <row r="2" spans="1:11" ht="20.25" x14ac:dyDescent="0.25">
      <c r="A2" s="347" t="s">
        <v>1108</v>
      </c>
      <c r="B2" s="341" t="s">
        <v>1011</v>
      </c>
      <c r="C2" s="341"/>
      <c r="D2" s="341" t="s">
        <v>1113</v>
      </c>
      <c r="E2" s="341"/>
      <c r="F2" s="136" t="s">
        <v>4</v>
      </c>
      <c r="G2" s="136" t="s">
        <v>3</v>
      </c>
      <c r="H2" s="149"/>
      <c r="I2"/>
      <c r="J2"/>
      <c r="K2"/>
    </row>
    <row r="3" spans="1:11" ht="42" customHeight="1" x14ac:dyDescent="0.25">
      <c r="A3" s="348"/>
      <c r="B3" s="349" t="s">
        <v>49</v>
      </c>
      <c r="C3" s="350"/>
      <c r="D3" s="342" t="s">
        <v>49</v>
      </c>
      <c r="E3" s="343"/>
      <c r="F3" s="139" t="str">
        <f>IF(OR($B$3=Dropdown_NotSelectedValue,$D$3=Dropdown_NotSelectedValue),"- - -",INDEX(Table_KMMatrix[],MATCH($B$3,Table_KMMatrix[Community],0),MATCH($D$3,Table_KMMatrix[#Headers],0)))</f>
        <v>- - -</v>
      </c>
      <c r="G3" s="139" t="str">
        <f>IFERROR($F$3*2,$F$3)</f>
        <v>- - -</v>
      </c>
      <c r="H3" s="149"/>
      <c r="I3"/>
      <c r="J3"/>
      <c r="K3"/>
    </row>
    <row r="4" spans="1:11" ht="8.25" customHeight="1" x14ac:dyDescent="0.25">
      <c r="A4" s="149"/>
      <c r="B4" s="149"/>
      <c r="C4" s="149"/>
      <c r="D4" s="149"/>
      <c r="E4" s="149"/>
      <c r="F4" s="149"/>
      <c r="G4" s="149"/>
      <c r="H4" s="149"/>
    </row>
    <row r="5" spans="1:11" ht="35.25" x14ac:dyDescent="0.5">
      <c r="A5" s="151" t="s">
        <v>1116</v>
      </c>
      <c r="B5" s="149"/>
      <c r="C5" s="149"/>
      <c r="D5" s="149"/>
      <c r="E5" s="149"/>
      <c r="F5" s="149"/>
      <c r="G5" s="149"/>
      <c r="H5" s="149"/>
    </row>
    <row r="6" spans="1:11" ht="8.25" customHeight="1" x14ac:dyDescent="0.25">
      <c r="A6" s="149"/>
      <c r="B6" s="149"/>
      <c r="C6" s="149"/>
      <c r="D6" s="149"/>
      <c r="E6" s="149"/>
      <c r="F6" s="149"/>
      <c r="G6" s="149"/>
      <c r="H6" s="149"/>
    </row>
    <row r="7" spans="1:11" x14ac:dyDescent="0.25">
      <c r="A7" s="152" t="s">
        <v>1115</v>
      </c>
      <c r="B7" s="153"/>
      <c r="C7" s="153"/>
      <c r="D7" s="153"/>
      <c r="E7" s="153"/>
      <c r="F7" s="153"/>
      <c r="G7" s="153"/>
      <c r="H7" s="153"/>
    </row>
    <row r="8" spans="1:11" x14ac:dyDescent="0.25">
      <c r="A8" s="152" t="s">
        <v>1114</v>
      </c>
      <c r="B8" s="153"/>
      <c r="C8" s="153"/>
      <c r="D8" s="153"/>
      <c r="E8" s="153"/>
      <c r="F8" s="153"/>
      <c r="G8" s="153"/>
      <c r="H8" s="153"/>
    </row>
    <row r="9" spans="1:11" ht="8.25" customHeight="1" x14ac:dyDescent="0.25">
      <c r="A9" s="149"/>
      <c r="B9" s="149"/>
      <c r="C9" s="149"/>
      <c r="D9" s="149"/>
      <c r="E9" s="149"/>
      <c r="F9" s="149"/>
      <c r="G9" s="149"/>
      <c r="H9" s="149"/>
    </row>
    <row r="10" spans="1:11" x14ac:dyDescent="0.25">
      <c r="A10" s="154" t="s">
        <v>1082</v>
      </c>
      <c r="B10" s="150" t="str">
        <f>HYPERLINK("https://maps.google.ca/")</f>
        <v>https://maps.google.ca/</v>
      </c>
      <c r="C10" s="149"/>
      <c r="D10" s="149"/>
      <c r="E10" s="149"/>
      <c r="F10" s="149"/>
      <c r="G10" s="149"/>
      <c r="H10" s="149"/>
    </row>
    <row r="11" spans="1:11" ht="8.25" customHeight="1" x14ac:dyDescent="0.25">
      <c r="A11" s="149"/>
      <c r="B11" s="149"/>
      <c r="C11" s="149"/>
      <c r="D11" s="149"/>
      <c r="E11" s="149"/>
      <c r="F11" s="149"/>
      <c r="G11" s="149"/>
      <c r="H11" s="149"/>
    </row>
    <row r="12" spans="1:11" ht="27.75" x14ac:dyDescent="0.4">
      <c r="B12" s="344" t="s">
        <v>1113</v>
      </c>
      <c r="C12" s="345"/>
      <c r="D12" s="345"/>
      <c r="E12" s="345"/>
      <c r="F12" s="345"/>
      <c r="G12" s="345"/>
      <c r="H12" s="346"/>
    </row>
    <row r="13" spans="1:11" ht="38.25" customHeight="1" x14ac:dyDescent="0.25">
      <c r="A13" s="137" t="s">
        <v>1011</v>
      </c>
      <c r="B13" s="134" t="s">
        <v>1016</v>
      </c>
      <c r="C13" s="134" t="s">
        <v>1014</v>
      </c>
      <c r="D13" s="134" t="s">
        <v>1013</v>
      </c>
      <c r="E13" s="134" t="s">
        <v>1015</v>
      </c>
      <c r="F13" s="134" t="s">
        <v>1038</v>
      </c>
      <c r="G13" s="138" t="s">
        <v>558</v>
      </c>
      <c r="H13" s="135" t="s">
        <v>1012</v>
      </c>
    </row>
    <row r="14" spans="1:11" x14ac:dyDescent="0.25">
      <c r="A14" s="155" t="s">
        <v>1041</v>
      </c>
      <c r="B14" s="157">
        <v>1625</v>
      </c>
      <c r="C14" s="157">
        <v>1735</v>
      </c>
      <c r="D14" s="157">
        <v>1750</v>
      </c>
      <c r="E14" s="157">
        <v>1645</v>
      </c>
      <c r="F14" s="157">
        <v>1200</v>
      </c>
      <c r="G14" s="157">
        <v>205</v>
      </c>
      <c r="H14" s="158">
        <v>1585</v>
      </c>
    </row>
    <row r="15" spans="1:11" x14ac:dyDescent="0.25">
      <c r="A15" s="155" t="s">
        <v>1042</v>
      </c>
      <c r="B15" s="157">
        <v>735</v>
      </c>
      <c r="C15" s="157">
        <v>925</v>
      </c>
      <c r="D15" s="157">
        <v>835</v>
      </c>
      <c r="E15" s="157">
        <v>785</v>
      </c>
      <c r="F15" s="157">
        <v>310</v>
      </c>
      <c r="G15" s="157">
        <v>700</v>
      </c>
      <c r="H15" s="158">
        <v>695</v>
      </c>
    </row>
    <row r="16" spans="1:11" x14ac:dyDescent="0.25">
      <c r="A16" s="155" t="s">
        <v>1017</v>
      </c>
      <c r="B16" s="157">
        <v>595</v>
      </c>
      <c r="C16" s="157">
        <v>790</v>
      </c>
      <c r="D16" s="157">
        <v>700</v>
      </c>
      <c r="E16" s="157">
        <v>650</v>
      </c>
      <c r="F16" s="157">
        <v>175</v>
      </c>
      <c r="G16" s="157">
        <v>840</v>
      </c>
      <c r="H16" s="158">
        <v>540</v>
      </c>
    </row>
    <row r="17" spans="1:14" x14ac:dyDescent="0.25">
      <c r="A17" s="155" t="s">
        <v>1043</v>
      </c>
      <c r="B17" s="157">
        <v>240</v>
      </c>
      <c r="C17" s="157">
        <v>360</v>
      </c>
      <c r="D17" s="157">
        <v>340</v>
      </c>
      <c r="E17" s="157">
        <v>370</v>
      </c>
      <c r="F17" s="157">
        <v>250</v>
      </c>
      <c r="G17" s="157">
        <v>1235</v>
      </c>
      <c r="H17" s="158">
        <v>200</v>
      </c>
    </row>
    <row r="18" spans="1:14" x14ac:dyDescent="0.25">
      <c r="A18" s="155" t="s">
        <v>1075</v>
      </c>
      <c r="B18" s="157">
        <v>310</v>
      </c>
      <c r="C18" s="157">
        <v>430</v>
      </c>
      <c r="D18" s="157">
        <v>415</v>
      </c>
      <c r="E18" s="157">
        <v>380</v>
      </c>
      <c r="F18" s="157">
        <v>220</v>
      </c>
      <c r="G18" s="157">
        <v>1185</v>
      </c>
      <c r="H18" s="158">
        <v>275</v>
      </c>
    </row>
    <row r="19" spans="1:14" x14ac:dyDescent="0.25">
      <c r="A19" s="155" t="s">
        <v>1018</v>
      </c>
      <c r="B19" s="157">
        <v>385</v>
      </c>
      <c r="C19" s="157">
        <v>500</v>
      </c>
      <c r="D19" s="157">
        <v>490</v>
      </c>
      <c r="E19" s="157">
        <v>355</v>
      </c>
      <c r="F19" s="157">
        <v>145</v>
      </c>
      <c r="G19" s="157">
        <v>1110</v>
      </c>
      <c r="H19" s="158">
        <v>330</v>
      </c>
    </row>
    <row r="20" spans="1:14" x14ac:dyDescent="0.25">
      <c r="A20" s="155" t="s">
        <v>1019</v>
      </c>
      <c r="B20" s="157">
        <v>770</v>
      </c>
      <c r="C20" s="157">
        <v>825</v>
      </c>
      <c r="D20" s="157">
        <v>875</v>
      </c>
      <c r="E20" s="157">
        <v>730</v>
      </c>
      <c r="F20" s="157">
        <v>405</v>
      </c>
      <c r="G20" s="157">
        <v>730</v>
      </c>
      <c r="H20" s="158">
        <v>715</v>
      </c>
    </row>
    <row r="21" spans="1:14" x14ac:dyDescent="0.25">
      <c r="A21" s="155" t="s">
        <v>1044</v>
      </c>
      <c r="B21" s="157">
        <v>1025</v>
      </c>
      <c r="C21" s="157">
        <v>1075</v>
      </c>
      <c r="D21" s="157">
        <v>1130</v>
      </c>
      <c r="E21" s="157">
        <v>985</v>
      </c>
      <c r="F21" s="157">
        <v>605</v>
      </c>
      <c r="G21" s="157">
        <v>490</v>
      </c>
      <c r="H21" s="158">
        <v>985</v>
      </c>
    </row>
    <row r="22" spans="1:14" x14ac:dyDescent="0.25">
      <c r="A22" s="155" t="s">
        <v>1045</v>
      </c>
      <c r="B22" s="157">
        <v>1770</v>
      </c>
      <c r="C22" s="157">
        <v>1880</v>
      </c>
      <c r="D22" s="157">
        <v>1875</v>
      </c>
      <c r="E22" s="157">
        <v>1790</v>
      </c>
      <c r="F22" s="157">
        <v>1345</v>
      </c>
      <c r="G22" s="157">
        <v>355</v>
      </c>
      <c r="H22" s="158">
        <v>1730</v>
      </c>
    </row>
    <row r="23" spans="1:14" x14ac:dyDescent="0.25">
      <c r="A23" s="155" t="s">
        <v>1020</v>
      </c>
      <c r="B23" s="157">
        <v>595</v>
      </c>
      <c r="C23" s="157">
        <v>785</v>
      </c>
      <c r="D23" s="157">
        <v>700</v>
      </c>
      <c r="E23" s="157">
        <v>645</v>
      </c>
      <c r="F23" s="157">
        <v>170</v>
      </c>
      <c r="G23" s="157">
        <v>895</v>
      </c>
      <c r="H23" s="158">
        <v>540</v>
      </c>
    </row>
    <row r="24" spans="1:14" x14ac:dyDescent="0.25">
      <c r="A24" s="155" t="s">
        <v>1046</v>
      </c>
      <c r="B24" s="157">
        <v>1825</v>
      </c>
      <c r="C24" s="157">
        <v>1910</v>
      </c>
      <c r="D24" s="157">
        <v>1925</v>
      </c>
      <c r="E24" s="157">
        <v>1820</v>
      </c>
      <c r="F24" s="157">
        <v>1375</v>
      </c>
      <c r="G24" s="157">
        <v>380</v>
      </c>
      <c r="H24" s="158">
        <v>1760</v>
      </c>
    </row>
    <row r="25" spans="1:14" x14ac:dyDescent="0.25">
      <c r="A25" s="155" t="s">
        <v>1021</v>
      </c>
      <c r="B25" s="157">
        <v>595</v>
      </c>
      <c r="C25" s="157">
        <v>650</v>
      </c>
      <c r="D25" s="157">
        <v>700</v>
      </c>
      <c r="E25" s="157">
        <v>555</v>
      </c>
      <c r="F25" s="157">
        <v>270</v>
      </c>
      <c r="G25" s="157">
        <v>905</v>
      </c>
      <c r="H25" s="158">
        <v>540</v>
      </c>
    </row>
    <row r="26" spans="1:14" x14ac:dyDescent="0.25">
      <c r="A26" s="155" t="s">
        <v>1022</v>
      </c>
      <c r="B26" s="157">
        <v>505</v>
      </c>
      <c r="C26" s="157">
        <v>695</v>
      </c>
      <c r="D26" s="157">
        <v>610</v>
      </c>
      <c r="E26" s="157">
        <v>555</v>
      </c>
      <c r="F26" s="157">
        <v>80</v>
      </c>
      <c r="G26" s="157">
        <v>935</v>
      </c>
      <c r="H26" s="158">
        <v>450</v>
      </c>
      <c r="N26" s="133"/>
    </row>
    <row r="27" spans="1:14" x14ac:dyDescent="0.25">
      <c r="A27" s="155" t="s">
        <v>1047</v>
      </c>
      <c r="B27" s="157">
        <v>1790</v>
      </c>
      <c r="C27" s="157">
        <v>1875</v>
      </c>
      <c r="D27" s="157">
        <v>1870</v>
      </c>
      <c r="E27" s="157">
        <v>1785</v>
      </c>
      <c r="F27" s="157">
        <v>1340</v>
      </c>
      <c r="G27" s="157">
        <v>345</v>
      </c>
      <c r="H27" s="158">
        <v>1725</v>
      </c>
    </row>
    <row r="28" spans="1:14" x14ac:dyDescent="0.25">
      <c r="A28" s="155" t="s">
        <v>1048</v>
      </c>
      <c r="B28" s="157">
        <v>1450</v>
      </c>
      <c r="C28" s="157">
        <v>1640</v>
      </c>
      <c r="D28" s="157">
        <v>1550</v>
      </c>
      <c r="E28" s="157">
        <v>1470</v>
      </c>
      <c r="F28" s="157">
        <v>1025</v>
      </c>
      <c r="G28" s="157">
        <v>5</v>
      </c>
      <c r="H28" s="158">
        <v>1410</v>
      </c>
    </row>
    <row r="29" spans="1:14" x14ac:dyDescent="0.25">
      <c r="A29" s="155" t="s">
        <v>1049</v>
      </c>
      <c r="B29" s="157">
        <v>720</v>
      </c>
      <c r="C29" s="157">
        <v>925</v>
      </c>
      <c r="D29" s="157">
        <v>835</v>
      </c>
      <c r="E29" s="157">
        <v>785</v>
      </c>
      <c r="F29" s="157">
        <v>310</v>
      </c>
      <c r="G29" s="157">
        <v>700</v>
      </c>
      <c r="H29" s="158">
        <v>695</v>
      </c>
    </row>
    <row r="30" spans="1:14" x14ac:dyDescent="0.25">
      <c r="A30" s="155" t="s">
        <v>1050</v>
      </c>
      <c r="B30" s="157">
        <v>1285</v>
      </c>
      <c r="C30" s="157">
        <v>1280</v>
      </c>
      <c r="D30" s="157">
        <v>1335</v>
      </c>
      <c r="E30" s="157">
        <v>1190</v>
      </c>
      <c r="F30" s="157">
        <v>810</v>
      </c>
      <c r="G30" s="157">
        <v>280</v>
      </c>
      <c r="H30" s="158">
        <v>1195</v>
      </c>
    </row>
    <row r="31" spans="1:14" x14ac:dyDescent="0.25">
      <c r="A31" s="155" t="s">
        <v>1023</v>
      </c>
      <c r="B31" s="157">
        <v>615</v>
      </c>
      <c r="C31" s="157">
        <v>805</v>
      </c>
      <c r="D31" s="157">
        <v>720</v>
      </c>
      <c r="E31" s="157">
        <v>670</v>
      </c>
      <c r="F31" s="157">
        <v>190</v>
      </c>
      <c r="G31" s="157">
        <v>1050</v>
      </c>
      <c r="H31" s="158">
        <v>560</v>
      </c>
    </row>
    <row r="32" spans="1:14" x14ac:dyDescent="0.25">
      <c r="A32" s="155" t="s">
        <v>1016</v>
      </c>
      <c r="B32" s="157" t="s">
        <v>1106</v>
      </c>
      <c r="C32" s="157">
        <v>330</v>
      </c>
      <c r="D32" s="157">
        <v>125</v>
      </c>
      <c r="E32" s="157">
        <v>470</v>
      </c>
      <c r="F32" s="157">
        <v>450</v>
      </c>
      <c r="G32" s="157">
        <v>1445</v>
      </c>
      <c r="H32" s="158">
        <v>70</v>
      </c>
    </row>
    <row r="33" spans="1:8" x14ac:dyDescent="0.25">
      <c r="A33" s="155" t="s">
        <v>1024</v>
      </c>
      <c r="B33" s="157">
        <v>980</v>
      </c>
      <c r="C33" s="157">
        <v>1040</v>
      </c>
      <c r="D33" s="157">
        <v>1085</v>
      </c>
      <c r="E33" s="157">
        <v>945</v>
      </c>
      <c r="F33" s="157">
        <v>560</v>
      </c>
      <c r="G33" s="157">
        <v>515</v>
      </c>
      <c r="H33" s="158">
        <v>925</v>
      </c>
    </row>
    <row r="34" spans="1:8" x14ac:dyDescent="0.25">
      <c r="A34" s="155" t="s">
        <v>1025</v>
      </c>
      <c r="B34" s="157">
        <v>1115</v>
      </c>
      <c r="C34" s="157">
        <v>1175</v>
      </c>
      <c r="D34" s="157">
        <v>1220</v>
      </c>
      <c r="E34" s="157">
        <v>1075</v>
      </c>
      <c r="F34" s="157">
        <v>695</v>
      </c>
      <c r="G34" s="157">
        <v>485</v>
      </c>
      <c r="H34" s="158">
        <v>1060</v>
      </c>
    </row>
    <row r="35" spans="1:8" x14ac:dyDescent="0.25">
      <c r="A35" s="155" t="s">
        <v>1026</v>
      </c>
      <c r="B35" s="157">
        <v>275</v>
      </c>
      <c r="C35" s="157">
        <v>390</v>
      </c>
      <c r="D35" s="157">
        <v>380</v>
      </c>
      <c r="E35" s="157">
        <v>340</v>
      </c>
      <c r="F35" s="157">
        <v>245</v>
      </c>
      <c r="G35" s="157">
        <v>1230</v>
      </c>
      <c r="H35" s="158">
        <v>220</v>
      </c>
    </row>
    <row r="36" spans="1:8" x14ac:dyDescent="0.25">
      <c r="A36" s="155" t="s">
        <v>1027</v>
      </c>
      <c r="B36" s="157">
        <v>725</v>
      </c>
      <c r="C36" s="157">
        <v>785</v>
      </c>
      <c r="D36" s="157">
        <v>830</v>
      </c>
      <c r="E36" s="157">
        <v>685</v>
      </c>
      <c r="F36" s="157">
        <v>370</v>
      </c>
      <c r="G36" s="157">
        <v>780</v>
      </c>
      <c r="H36" s="158">
        <v>670</v>
      </c>
    </row>
    <row r="37" spans="1:8" x14ac:dyDescent="0.25">
      <c r="A37" s="155" t="s">
        <v>1028</v>
      </c>
      <c r="B37" s="157">
        <v>890</v>
      </c>
      <c r="C37" s="157">
        <v>945</v>
      </c>
      <c r="D37" s="157">
        <v>995</v>
      </c>
      <c r="E37" s="157">
        <v>845</v>
      </c>
      <c r="F37" s="157">
        <v>465</v>
      </c>
      <c r="G37" s="157">
        <v>615</v>
      </c>
      <c r="H37" s="158">
        <v>835</v>
      </c>
    </row>
    <row r="38" spans="1:8" x14ac:dyDescent="0.25">
      <c r="A38" s="155" t="s">
        <v>1051</v>
      </c>
      <c r="B38" s="157">
        <v>1905</v>
      </c>
      <c r="C38" s="157">
        <v>2020</v>
      </c>
      <c r="D38" s="157">
        <v>2010</v>
      </c>
      <c r="E38" s="157">
        <v>1930</v>
      </c>
      <c r="F38" s="157">
        <v>1485</v>
      </c>
      <c r="G38" s="157">
        <v>490</v>
      </c>
      <c r="H38" s="158">
        <v>1870</v>
      </c>
    </row>
    <row r="39" spans="1:8" x14ac:dyDescent="0.25">
      <c r="A39" s="155" t="s">
        <v>1014</v>
      </c>
      <c r="B39" s="157">
        <v>330</v>
      </c>
      <c r="C39" s="157" t="s">
        <v>1106</v>
      </c>
      <c r="D39" s="157">
        <v>440</v>
      </c>
      <c r="E39" s="157">
        <v>195</v>
      </c>
      <c r="F39" s="157">
        <v>640</v>
      </c>
      <c r="G39" s="157">
        <v>1635</v>
      </c>
      <c r="H39" s="158">
        <v>265</v>
      </c>
    </row>
    <row r="40" spans="1:8" x14ac:dyDescent="0.25">
      <c r="A40" s="155" t="s">
        <v>1029</v>
      </c>
      <c r="B40" s="157">
        <v>640</v>
      </c>
      <c r="C40" s="157">
        <v>695</v>
      </c>
      <c r="D40" s="157">
        <v>745</v>
      </c>
      <c r="E40" s="157">
        <v>600</v>
      </c>
      <c r="F40" s="157">
        <v>315</v>
      </c>
      <c r="G40" s="157">
        <v>880</v>
      </c>
      <c r="H40" s="158">
        <v>585</v>
      </c>
    </row>
    <row r="41" spans="1:8" x14ac:dyDescent="0.25">
      <c r="A41" s="155" t="s">
        <v>1052</v>
      </c>
      <c r="B41" s="157">
        <v>1845</v>
      </c>
      <c r="C41" s="157">
        <v>1930</v>
      </c>
      <c r="D41" s="157">
        <v>1920</v>
      </c>
      <c r="E41" s="157">
        <v>1840</v>
      </c>
      <c r="F41" s="157">
        <v>1395</v>
      </c>
      <c r="G41" s="157">
        <v>400</v>
      </c>
      <c r="H41" s="158">
        <v>1780</v>
      </c>
    </row>
    <row r="42" spans="1:8" x14ac:dyDescent="0.25">
      <c r="A42" s="155" t="s">
        <v>1030</v>
      </c>
      <c r="B42" s="157">
        <v>555</v>
      </c>
      <c r="C42" s="157">
        <v>745</v>
      </c>
      <c r="D42" s="157">
        <v>660</v>
      </c>
      <c r="E42" s="157">
        <v>605</v>
      </c>
      <c r="F42" s="157">
        <v>130</v>
      </c>
      <c r="G42" s="157">
        <v>985</v>
      </c>
      <c r="H42" s="158">
        <v>500</v>
      </c>
    </row>
    <row r="43" spans="1:8" x14ac:dyDescent="0.25">
      <c r="A43" s="155" t="s">
        <v>1013</v>
      </c>
      <c r="B43" s="157">
        <v>125</v>
      </c>
      <c r="C43" s="157">
        <v>440</v>
      </c>
      <c r="D43" s="157" t="s">
        <v>1106</v>
      </c>
      <c r="E43" s="157">
        <v>630</v>
      </c>
      <c r="F43" s="157">
        <v>555</v>
      </c>
      <c r="G43" s="157">
        <v>1545</v>
      </c>
      <c r="H43" s="158">
        <v>190</v>
      </c>
    </row>
    <row r="44" spans="1:8" x14ac:dyDescent="0.25">
      <c r="A44" s="155" t="s">
        <v>1053</v>
      </c>
      <c r="B44" s="157">
        <v>590</v>
      </c>
      <c r="C44" s="157">
        <v>720</v>
      </c>
      <c r="D44" s="157">
        <v>380</v>
      </c>
      <c r="E44" s="157">
        <v>640</v>
      </c>
      <c r="F44" s="157">
        <v>165</v>
      </c>
      <c r="G44" s="157">
        <v>1020</v>
      </c>
      <c r="H44" s="158">
        <v>400</v>
      </c>
    </row>
    <row r="45" spans="1:8" x14ac:dyDescent="0.25">
      <c r="A45" s="155" t="s">
        <v>1054</v>
      </c>
      <c r="B45" s="157">
        <v>1145</v>
      </c>
      <c r="C45" s="157">
        <v>1290</v>
      </c>
      <c r="D45" s="157">
        <v>1100</v>
      </c>
      <c r="E45" s="157">
        <v>1200</v>
      </c>
      <c r="F45" s="157">
        <v>725</v>
      </c>
      <c r="G45" s="157">
        <v>300</v>
      </c>
      <c r="H45" s="158">
        <v>1100</v>
      </c>
    </row>
    <row r="46" spans="1:8" x14ac:dyDescent="0.25">
      <c r="A46" s="155" t="s">
        <v>1055</v>
      </c>
      <c r="B46" s="157">
        <v>690</v>
      </c>
      <c r="C46" s="157">
        <v>740</v>
      </c>
      <c r="D46" s="157">
        <v>795</v>
      </c>
      <c r="E46" s="157">
        <v>650</v>
      </c>
      <c r="F46" s="157">
        <v>365</v>
      </c>
      <c r="G46" s="157">
        <v>810</v>
      </c>
      <c r="H46" s="158">
        <v>650</v>
      </c>
    </row>
    <row r="47" spans="1:8" x14ac:dyDescent="0.25">
      <c r="A47" s="155" t="s">
        <v>1056</v>
      </c>
      <c r="B47" s="157">
        <v>660</v>
      </c>
      <c r="C47" s="157">
        <v>780</v>
      </c>
      <c r="D47" s="157">
        <v>715</v>
      </c>
      <c r="E47" s="157">
        <v>690</v>
      </c>
      <c r="F47" s="157">
        <v>195</v>
      </c>
      <c r="G47" s="157">
        <v>890</v>
      </c>
      <c r="H47" s="158">
        <v>620</v>
      </c>
    </row>
    <row r="48" spans="1:8" x14ac:dyDescent="0.25">
      <c r="A48" s="155" t="s">
        <v>1031</v>
      </c>
      <c r="B48" s="157">
        <v>440</v>
      </c>
      <c r="C48" s="157">
        <v>395</v>
      </c>
      <c r="D48" s="157">
        <v>545</v>
      </c>
      <c r="E48" s="157">
        <v>295</v>
      </c>
      <c r="F48" s="157">
        <v>190</v>
      </c>
      <c r="G48" s="157">
        <v>1160</v>
      </c>
      <c r="H48" s="158">
        <v>385</v>
      </c>
    </row>
    <row r="49" spans="1:8" x14ac:dyDescent="0.25">
      <c r="A49" s="155" t="s">
        <v>1076</v>
      </c>
      <c r="B49" s="157">
        <v>585</v>
      </c>
      <c r="C49" s="157">
        <v>725</v>
      </c>
      <c r="D49" s="157">
        <v>685</v>
      </c>
      <c r="E49" s="157">
        <v>635</v>
      </c>
      <c r="F49" s="157">
        <v>160</v>
      </c>
      <c r="G49" s="157">
        <v>1015</v>
      </c>
      <c r="H49" s="158">
        <v>545</v>
      </c>
    </row>
    <row r="50" spans="1:8" x14ac:dyDescent="0.25">
      <c r="A50" s="155" t="s">
        <v>1057</v>
      </c>
      <c r="B50" s="157">
        <v>200</v>
      </c>
      <c r="C50" s="157">
        <v>355</v>
      </c>
      <c r="D50" s="157">
        <v>285</v>
      </c>
      <c r="E50" s="157">
        <v>430</v>
      </c>
      <c r="F50" s="157">
        <v>270</v>
      </c>
      <c r="G50" s="157">
        <v>1255</v>
      </c>
      <c r="H50" s="158">
        <v>160</v>
      </c>
    </row>
    <row r="51" spans="1:8" x14ac:dyDescent="0.25">
      <c r="A51" s="155" t="s">
        <v>1032</v>
      </c>
      <c r="B51" s="157">
        <v>595</v>
      </c>
      <c r="C51" s="157">
        <v>785</v>
      </c>
      <c r="D51" s="157">
        <v>700</v>
      </c>
      <c r="E51" s="157">
        <v>645</v>
      </c>
      <c r="F51" s="157">
        <v>170</v>
      </c>
      <c r="G51" s="157">
        <v>1025</v>
      </c>
      <c r="H51" s="158">
        <v>540</v>
      </c>
    </row>
    <row r="52" spans="1:8" x14ac:dyDescent="0.25">
      <c r="A52" s="155" t="s">
        <v>1058</v>
      </c>
      <c r="B52" s="157">
        <v>550</v>
      </c>
      <c r="C52" s="157">
        <v>605</v>
      </c>
      <c r="D52" s="157">
        <v>655</v>
      </c>
      <c r="E52" s="157">
        <v>505</v>
      </c>
      <c r="F52" s="157">
        <v>220</v>
      </c>
      <c r="G52" s="157">
        <v>950</v>
      </c>
      <c r="H52" s="158">
        <v>495</v>
      </c>
    </row>
    <row r="53" spans="1:8" x14ac:dyDescent="0.25">
      <c r="A53" s="155" t="s">
        <v>1059</v>
      </c>
      <c r="B53" s="157">
        <v>1325</v>
      </c>
      <c r="C53" s="157">
        <v>1435</v>
      </c>
      <c r="D53" s="157">
        <v>1275</v>
      </c>
      <c r="E53" s="157">
        <v>1345</v>
      </c>
      <c r="F53" s="157">
        <v>900</v>
      </c>
      <c r="G53" s="157">
        <v>115</v>
      </c>
      <c r="H53" s="158">
        <v>1285</v>
      </c>
    </row>
    <row r="54" spans="1:8" x14ac:dyDescent="0.25">
      <c r="A54" s="155" t="s">
        <v>1060</v>
      </c>
      <c r="B54" s="157">
        <v>440</v>
      </c>
      <c r="C54" s="157">
        <v>490</v>
      </c>
      <c r="D54" s="157">
        <v>545</v>
      </c>
      <c r="E54" s="157">
        <v>400</v>
      </c>
      <c r="F54" s="157">
        <v>100</v>
      </c>
      <c r="G54" s="157">
        <v>1100</v>
      </c>
      <c r="H54" s="158">
        <v>395</v>
      </c>
    </row>
    <row r="55" spans="1:8" x14ac:dyDescent="0.25">
      <c r="A55" s="155" t="s">
        <v>1033</v>
      </c>
      <c r="B55" s="157">
        <v>415</v>
      </c>
      <c r="C55" s="157">
        <v>455</v>
      </c>
      <c r="D55" s="157">
        <v>520</v>
      </c>
      <c r="E55" s="157">
        <v>360</v>
      </c>
      <c r="F55" s="157">
        <v>130</v>
      </c>
      <c r="G55" s="157">
        <v>1100</v>
      </c>
      <c r="H55" s="158">
        <v>360</v>
      </c>
    </row>
    <row r="56" spans="1:8" x14ac:dyDescent="0.25">
      <c r="A56" s="155" t="s">
        <v>1061</v>
      </c>
      <c r="B56" s="157">
        <v>1145</v>
      </c>
      <c r="C56" s="157">
        <v>1285</v>
      </c>
      <c r="D56" s="157">
        <v>1245</v>
      </c>
      <c r="E56" s="157">
        <v>1200</v>
      </c>
      <c r="F56" s="157">
        <v>715</v>
      </c>
      <c r="G56" s="157">
        <v>310</v>
      </c>
      <c r="H56" s="158">
        <v>1105</v>
      </c>
    </row>
    <row r="57" spans="1:8" x14ac:dyDescent="0.25">
      <c r="A57" s="155" t="s">
        <v>1015</v>
      </c>
      <c r="B57" s="157">
        <v>470</v>
      </c>
      <c r="C57" s="157">
        <v>195</v>
      </c>
      <c r="D57" s="157">
        <v>630</v>
      </c>
      <c r="E57" s="157" t="s">
        <v>1106</v>
      </c>
      <c r="F57" s="157">
        <v>490</v>
      </c>
      <c r="G57" s="157">
        <v>1465</v>
      </c>
      <c r="H57" s="158">
        <v>400</v>
      </c>
    </row>
    <row r="58" spans="1:8" x14ac:dyDescent="0.25">
      <c r="A58" s="155" t="s">
        <v>1062</v>
      </c>
      <c r="B58" s="157">
        <v>300</v>
      </c>
      <c r="C58" s="157">
        <v>470</v>
      </c>
      <c r="D58" s="157">
        <v>405</v>
      </c>
      <c r="E58" s="157">
        <v>420</v>
      </c>
      <c r="F58" s="157">
        <v>170</v>
      </c>
      <c r="G58" s="157">
        <v>1155</v>
      </c>
      <c r="H58" s="158">
        <v>245</v>
      </c>
    </row>
    <row r="59" spans="1:8" x14ac:dyDescent="0.25">
      <c r="A59" s="155" t="s">
        <v>1034</v>
      </c>
      <c r="B59" s="157">
        <v>385</v>
      </c>
      <c r="C59" s="157">
        <v>485</v>
      </c>
      <c r="D59" s="157">
        <v>490</v>
      </c>
      <c r="E59" s="157">
        <v>370</v>
      </c>
      <c r="F59" s="157">
        <v>160</v>
      </c>
      <c r="G59" s="157">
        <v>1125</v>
      </c>
      <c r="H59" s="158">
        <v>330</v>
      </c>
    </row>
    <row r="60" spans="1:8" x14ac:dyDescent="0.25">
      <c r="A60" s="155" t="s">
        <v>1063</v>
      </c>
      <c r="B60" s="157">
        <v>1855</v>
      </c>
      <c r="C60" s="157">
        <v>2045</v>
      </c>
      <c r="D60" s="157">
        <v>1960</v>
      </c>
      <c r="E60" s="157">
        <v>1875</v>
      </c>
      <c r="F60" s="157">
        <v>1430</v>
      </c>
      <c r="G60" s="157">
        <v>440</v>
      </c>
      <c r="H60" s="158">
        <v>1815</v>
      </c>
    </row>
    <row r="61" spans="1:8" x14ac:dyDescent="0.25">
      <c r="A61" s="155" t="s">
        <v>1064</v>
      </c>
      <c r="B61" s="157">
        <v>1985</v>
      </c>
      <c r="C61" s="157">
        <v>2095</v>
      </c>
      <c r="D61" s="157">
        <v>2085</v>
      </c>
      <c r="E61" s="157">
        <v>2005</v>
      </c>
      <c r="F61" s="157">
        <v>1560</v>
      </c>
      <c r="G61" s="157">
        <v>570</v>
      </c>
      <c r="H61" s="158">
        <v>1945</v>
      </c>
    </row>
    <row r="62" spans="1:8" x14ac:dyDescent="0.25">
      <c r="A62" s="155" t="s">
        <v>1035</v>
      </c>
      <c r="B62" s="157">
        <v>700</v>
      </c>
      <c r="C62" s="157">
        <v>890</v>
      </c>
      <c r="D62" s="157">
        <v>805</v>
      </c>
      <c r="E62" s="157">
        <v>755</v>
      </c>
      <c r="F62" s="157">
        <v>280</v>
      </c>
      <c r="G62" s="157">
        <v>760</v>
      </c>
      <c r="H62" s="158">
        <v>645</v>
      </c>
    </row>
    <row r="63" spans="1:8" x14ac:dyDescent="0.25">
      <c r="A63" s="155" t="s">
        <v>1065</v>
      </c>
      <c r="B63" s="157">
        <v>525</v>
      </c>
      <c r="C63" s="157">
        <v>670</v>
      </c>
      <c r="D63" s="157">
        <v>630</v>
      </c>
      <c r="E63" s="157">
        <v>580</v>
      </c>
      <c r="F63" s="157">
        <v>105</v>
      </c>
      <c r="G63" s="157">
        <v>910</v>
      </c>
      <c r="H63" s="158">
        <v>490</v>
      </c>
    </row>
    <row r="64" spans="1:8" x14ac:dyDescent="0.25">
      <c r="A64" s="155" t="s">
        <v>1036</v>
      </c>
      <c r="B64" s="157">
        <v>740</v>
      </c>
      <c r="C64" s="157">
        <v>930</v>
      </c>
      <c r="D64" s="157">
        <v>845</v>
      </c>
      <c r="E64" s="157">
        <v>795</v>
      </c>
      <c r="F64" s="157">
        <v>315</v>
      </c>
      <c r="G64" s="157">
        <v>700</v>
      </c>
      <c r="H64" s="158">
        <v>685</v>
      </c>
    </row>
    <row r="65" spans="1:8" x14ac:dyDescent="0.25">
      <c r="A65" s="155" t="s">
        <v>1066</v>
      </c>
      <c r="B65" s="157">
        <v>560</v>
      </c>
      <c r="C65" s="157">
        <v>700</v>
      </c>
      <c r="D65" s="157">
        <v>660</v>
      </c>
      <c r="E65" s="157">
        <v>610</v>
      </c>
      <c r="F65" s="157">
        <v>135</v>
      </c>
      <c r="G65" s="157">
        <v>880</v>
      </c>
      <c r="H65" s="158">
        <v>520</v>
      </c>
    </row>
    <row r="66" spans="1:8" x14ac:dyDescent="0.25">
      <c r="A66" s="155" t="s">
        <v>1067</v>
      </c>
      <c r="B66" s="157">
        <v>1770</v>
      </c>
      <c r="C66" s="157">
        <v>1920</v>
      </c>
      <c r="D66" s="157">
        <v>1915</v>
      </c>
      <c r="E66" s="157">
        <v>1830</v>
      </c>
      <c r="F66" s="157">
        <v>1385</v>
      </c>
      <c r="G66" s="157">
        <v>390</v>
      </c>
      <c r="H66" s="158">
        <v>1835</v>
      </c>
    </row>
    <row r="67" spans="1:8" x14ac:dyDescent="0.25">
      <c r="A67" s="155" t="s">
        <v>1068</v>
      </c>
      <c r="B67" s="157">
        <v>785</v>
      </c>
      <c r="C67" s="157">
        <v>875</v>
      </c>
      <c r="D67" s="157">
        <v>905</v>
      </c>
      <c r="E67" s="157">
        <v>785</v>
      </c>
      <c r="F67" s="157">
        <v>405</v>
      </c>
      <c r="G67" s="157">
        <v>675</v>
      </c>
      <c r="H67" s="158">
        <v>785</v>
      </c>
    </row>
    <row r="68" spans="1:8" x14ac:dyDescent="0.25">
      <c r="A68" s="155" t="s">
        <v>1037</v>
      </c>
      <c r="B68" s="157">
        <v>435</v>
      </c>
      <c r="C68" s="157">
        <v>495</v>
      </c>
      <c r="D68" s="157">
        <v>540</v>
      </c>
      <c r="E68" s="157">
        <v>395</v>
      </c>
      <c r="F68" s="157">
        <v>95</v>
      </c>
      <c r="G68" s="157">
        <v>1095</v>
      </c>
      <c r="H68" s="158">
        <v>380</v>
      </c>
    </row>
    <row r="69" spans="1:8" x14ac:dyDescent="0.25">
      <c r="A69" s="155" t="s">
        <v>1038</v>
      </c>
      <c r="B69" s="157">
        <v>450</v>
      </c>
      <c r="C69" s="157">
        <v>640</v>
      </c>
      <c r="D69" s="157">
        <v>555</v>
      </c>
      <c r="E69" s="157">
        <v>490</v>
      </c>
      <c r="F69" s="157" t="s">
        <v>1106</v>
      </c>
      <c r="G69" s="157">
        <v>1020</v>
      </c>
      <c r="H69" s="158">
        <v>395</v>
      </c>
    </row>
    <row r="70" spans="1:8" x14ac:dyDescent="0.25">
      <c r="A70" s="155" t="s">
        <v>1039</v>
      </c>
      <c r="B70" s="157">
        <v>495</v>
      </c>
      <c r="C70" s="157">
        <v>555</v>
      </c>
      <c r="D70" s="157">
        <v>600</v>
      </c>
      <c r="E70" s="157">
        <v>455</v>
      </c>
      <c r="F70" s="157">
        <v>170</v>
      </c>
      <c r="G70" s="157">
        <v>1000</v>
      </c>
      <c r="H70" s="158">
        <v>440</v>
      </c>
    </row>
    <row r="71" spans="1:8" x14ac:dyDescent="0.25">
      <c r="A71" s="155" t="s">
        <v>1069</v>
      </c>
      <c r="B71" s="157">
        <v>525</v>
      </c>
      <c r="C71" s="157">
        <v>585</v>
      </c>
      <c r="D71" s="157">
        <v>630</v>
      </c>
      <c r="E71" s="157">
        <v>485</v>
      </c>
      <c r="F71" s="157">
        <v>260</v>
      </c>
      <c r="G71" s="157">
        <v>1280</v>
      </c>
      <c r="H71" s="158">
        <v>470</v>
      </c>
    </row>
    <row r="72" spans="1:8" x14ac:dyDescent="0.25">
      <c r="A72" s="155" t="s">
        <v>1107</v>
      </c>
      <c r="B72" s="157">
        <v>550</v>
      </c>
      <c r="C72" s="157">
        <v>600</v>
      </c>
      <c r="D72" s="157">
        <v>650</v>
      </c>
      <c r="E72" s="157">
        <v>510</v>
      </c>
      <c r="F72" s="157">
        <v>220</v>
      </c>
      <c r="G72" s="157">
        <v>950</v>
      </c>
      <c r="H72" s="158">
        <v>510</v>
      </c>
    </row>
    <row r="73" spans="1:8" x14ac:dyDescent="0.25">
      <c r="A73" s="155" t="s">
        <v>1070</v>
      </c>
      <c r="B73" s="157">
        <v>1215</v>
      </c>
      <c r="C73" s="157">
        <v>1360</v>
      </c>
      <c r="D73" s="157">
        <v>1320</v>
      </c>
      <c r="E73" s="157">
        <v>1270</v>
      </c>
      <c r="F73" s="157">
        <v>795</v>
      </c>
      <c r="G73" s="157">
        <v>220</v>
      </c>
      <c r="H73" s="158">
        <v>1180</v>
      </c>
    </row>
    <row r="74" spans="1:8" x14ac:dyDescent="0.25">
      <c r="A74" s="155" t="s">
        <v>1071</v>
      </c>
      <c r="B74" s="157">
        <v>650</v>
      </c>
      <c r="C74" s="157">
        <v>795</v>
      </c>
      <c r="D74" s="157">
        <v>755</v>
      </c>
      <c r="E74" s="157">
        <v>705</v>
      </c>
      <c r="F74" s="157">
        <v>230</v>
      </c>
      <c r="G74" s="157">
        <v>785</v>
      </c>
      <c r="H74" s="158">
        <v>615</v>
      </c>
    </row>
    <row r="75" spans="1:8" x14ac:dyDescent="0.25">
      <c r="A75" s="155" t="s">
        <v>558</v>
      </c>
      <c r="B75" s="157">
        <v>1445</v>
      </c>
      <c r="C75" s="157">
        <v>1635</v>
      </c>
      <c r="D75" s="157">
        <v>1545</v>
      </c>
      <c r="E75" s="157">
        <v>1465</v>
      </c>
      <c r="F75" s="157">
        <v>1020</v>
      </c>
      <c r="G75" s="157" t="s">
        <v>1106</v>
      </c>
      <c r="H75" s="158">
        <v>1405</v>
      </c>
    </row>
    <row r="76" spans="1:8" x14ac:dyDescent="0.25">
      <c r="A76" s="155" t="s">
        <v>1040</v>
      </c>
      <c r="B76" s="157">
        <v>745</v>
      </c>
      <c r="C76" s="157">
        <v>815</v>
      </c>
      <c r="D76" s="157">
        <v>850</v>
      </c>
      <c r="E76" s="157">
        <v>720</v>
      </c>
      <c r="F76" s="157">
        <v>300</v>
      </c>
      <c r="G76" s="157">
        <v>775</v>
      </c>
      <c r="H76" s="158">
        <v>690</v>
      </c>
    </row>
    <row r="77" spans="1:8" x14ac:dyDescent="0.25">
      <c r="A77" s="155" t="s">
        <v>1012</v>
      </c>
      <c r="B77" s="157">
        <v>70</v>
      </c>
      <c r="C77" s="157">
        <v>265</v>
      </c>
      <c r="D77" s="157">
        <v>190</v>
      </c>
      <c r="E77" s="157">
        <v>400</v>
      </c>
      <c r="F77" s="157">
        <v>395</v>
      </c>
      <c r="G77" s="157">
        <v>1405</v>
      </c>
      <c r="H77" s="158" t="s">
        <v>1106</v>
      </c>
    </row>
    <row r="78" spans="1:8" x14ac:dyDescent="0.25">
      <c r="A78" s="155" t="s">
        <v>1072</v>
      </c>
      <c r="B78" s="157">
        <v>925</v>
      </c>
      <c r="C78" s="157">
        <v>965</v>
      </c>
      <c r="D78" s="157">
        <v>1065</v>
      </c>
      <c r="E78" s="157">
        <v>1015</v>
      </c>
      <c r="F78" s="157">
        <v>540</v>
      </c>
      <c r="G78" s="157">
        <v>480</v>
      </c>
      <c r="H78" s="158">
        <v>925</v>
      </c>
    </row>
    <row r="79" spans="1:8" x14ac:dyDescent="0.25">
      <c r="A79" s="155" t="s">
        <v>1073</v>
      </c>
      <c r="B79" s="157">
        <v>450</v>
      </c>
      <c r="C79" s="157">
        <v>595</v>
      </c>
      <c r="D79" s="157">
        <v>555</v>
      </c>
      <c r="E79" s="157">
        <v>505</v>
      </c>
      <c r="F79" s="157">
        <v>25</v>
      </c>
      <c r="G79" s="157">
        <v>985</v>
      </c>
      <c r="H79" s="158">
        <v>415</v>
      </c>
    </row>
    <row r="80" spans="1:8" x14ac:dyDescent="0.25">
      <c r="A80" s="156" t="s">
        <v>1074</v>
      </c>
      <c r="B80" s="159">
        <v>525</v>
      </c>
      <c r="C80" s="159">
        <v>670</v>
      </c>
      <c r="D80" s="159">
        <v>630</v>
      </c>
      <c r="E80" s="159">
        <v>580</v>
      </c>
      <c r="F80" s="159">
        <v>105</v>
      </c>
      <c r="G80" s="159">
        <v>960</v>
      </c>
      <c r="H80" s="160">
        <v>490</v>
      </c>
    </row>
    <row r="81" spans="1:8" x14ac:dyDescent="0.25">
      <c r="A81" s="149"/>
      <c r="B81" s="149"/>
      <c r="C81" s="149"/>
      <c r="D81" s="149"/>
      <c r="E81" s="149"/>
      <c r="F81" s="149"/>
      <c r="G81" s="149"/>
      <c r="H81" s="149"/>
    </row>
    <row r="82" spans="1:8" customFormat="1" ht="15" x14ac:dyDescent="0.25"/>
    <row r="83" spans="1:8" customFormat="1" ht="15" x14ac:dyDescent="0.25"/>
    <row r="84" spans="1:8" customFormat="1" ht="15" x14ac:dyDescent="0.25"/>
    <row r="85" spans="1:8" customFormat="1" ht="15" x14ac:dyDescent="0.25"/>
    <row r="86" spans="1:8" customFormat="1" ht="15" x14ac:dyDescent="0.25"/>
    <row r="87" spans="1:8" customFormat="1" ht="15" x14ac:dyDescent="0.25"/>
    <row r="88" spans="1:8" customFormat="1" ht="15" x14ac:dyDescent="0.25"/>
    <row r="89" spans="1:8" customFormat="1" ht="15" x14ac:dyDescent="0.25"/>
    <row r="90" spans="1:8" customFormat="1" ht="15" x14ac:dyDescent="0.25"/>
    <row r="91" spans="1:8" customFormat="1" ht="15" x14ac:dyDescent="0.25"/>
    <row r="92" spans="1:8" customFormat="1" ht="15" x14ac:dyDescent="0.25"/>
    <row r="93" spans="1:8" customFormat="1" ht="15" x14ac:dyDescent="0.25"/>
    <row r="94" spans="1:8" customFormat="1" ht="15" x14ac:dyDescent="0.25"/>
    <row r="95" spans="1:8" customFormat="1" ht="15" x14ac:dyDescent="0.25"/>
    <row r="96" spans="1:8" customFormat="1" ht="15" x14ac:dyDescent="0.25"/>
    <row r="97" customFormat="1" ht="15" x14ac:dyDescent="0.25"/>
    <row r="98" customFormat="1" ht="15" x14ac:dyDescent="0.25"/>
    <row r="99" customFormat="1" ht="15" x14ac:dyDescent="0.25"/>
    <row r="100" customFormat="1" ht="15" x14ac:dyDescent="0.25"/>
    <row r="101" customFormat="1" ht="15" x14ac:dyDescent="0.25"/>
    <row r="102" customFormat="1" ht="15" x14ac:dyDescent="0.25"/>
    <row r="103" customFormat="1" ht="15" x14ac:dyDescent="0.25"/>
    <row r="104" customFormat="1" ht="15" x14ac:dyDescent="0.25"/>
    <row r="105" customFormat="1" ht="15" x14ac:dyDescent="0.25"/>
    <row r="106" customFormat="1" ht="15" x14ac:dyDescent="0.25"/>
    <row r="107" customFormat="1" ht="15" x14ac:dyDescent="0.25"/>
    <row r="108" customFormat="1" ht="15" x14ac:dyDescent="0.25"/>
    <row r="109" customFormat="1" ht="15" x14ac:dyDescent="0.25"/>
    <row r="110" customFormat="1" ht="15" x14ac:dyDescent="0.25"/>
    <row r="111" customFormat="1" ht="15" x14ac:dyDescent="0.25"/>
    <row r="112" customFormat="1" ht="15" x14ac:dyDescent="0.25"/>
    <row r="113" customFormat="1" ht="15" x14ac:dyDescent="0.25"/>
    <row r="114" customFormat="1" ht="15" x14ac:dyDescent="0.25"/>
    <row r="115" customFormat="1" ht="15" x14ac:dyDescent="0.25"/>
    <row r="116" customFormat="1" ht="15" x14ac:dyDescent="0.25"/>
    <row r="117" customFormat="1" ht="15" x14ac:dyDescent="0.25"/>
    <row r="118" customFormat="1" ht="15" x14ac:dyDescent="0.25"/>
    <row r="119" customFormat="1" ht="15" x14ac:dyDescent="0.25"/>
  </sheetData>
  <sheetProtection password="EDC4" sheet="1" objects="1" scenarios="1"/>
  <mergeCells count="6">
    <mergeCell ref="B2:C2"/>
    <mergeCell ref="D3:E3"/>
    <mergeCell ref="D2:E2"/>
    <mergeCell ref="B12:H12"/>
    <mergeCell ref="A2:A3"/>
    <mergeCell ref="B3:C3"/>
  </mergeCells>
  <conditionalFormatting sqref="B3 D3">
    <cfRule type="cellIs" dxfId="145" priority="4" operator="equal">
      <formula>Dropdown_NotSelectedValue</formula>
    </cfRule>
  </conditionalFormatting>
  <conditionalFormatting sqref="A14:H80">
    <cfRule type="expression" dxfId="144" priority="3">
      <formula>$B$3=$A14</formula>
    </cfRule>
    <cfRule type="expression" dxfId="143" priority="1">
      <formula>IFERROR(FIND(CELL("address",A14),IFERROR(CELL("address",OFFSET(Lookup_KMRefStart,Lookup_KMCommunity,Lookup_KMMajor,1,1)),"")&amp;",",1)&gt;0,FALSE)</formula>
    </cfRule>
  </conditionalFormatting>
  <conditionalFormatting sqref="A13:H80">
    <cfRule type="expression" dxfId="142" priority="2">
      <formula>$D$3=A$13</formula>
    </cfRule>
  </conditionalFormatting>
  <dataValidations count="2">
    <dataValidation type="list" allowBlank="1" showInputMessage="1" showErrorMessage="1" errorTitle="Community Error" error="Select a 'Commmunity' from the in-cell dropdown list." sqref="B3">
      <formula1>Dropdown_KMCommunity</formula1>
    </dataValidation>
    <dataValidation type="list" allowBlank="1" showInputMessage="1" showErrorMessage="1" errorTitle="Major Centre / Campus Error" error="Select a 'Major Centre / Campus' from the in-cell dropdown list." sqref="D3">
      <formula1>Dropdown_KMCentre</formula1>
    </dataValidation>
  </dataValidations>
  <printOptions horizontalCentered="1"/>
  <pageMargins left="0.19685039370078741" right="0.19685039370078741" top="0.19685039370078741" bottom="0.19685039370078741" header="0.19685039370078741" footer="0.19685039370078741"/>
  <pageSetup scale="50" fitToHeight="0" orientation="portrait" r:id="rId1"/>
  <headerFooter>
    <oddFooter>&amp;C&amp;A&amp;R&amp;D</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A184"/>
  <sheetViews>
    <sheetView topLeftCell="M164" zoomScale="70" zoomScaleNormal="70" workbookViewId="0">
      <selection activeCell="P173" sqref="P173"/>
    </sheetView>
  </sheetViews>
  <sheetFormatPr defaultRowHeight="15" x14ac:dyDescent="0.25"/>
  <cols>
    <col min="1" max="1" width="17.42578125" bestFit="1" customWidth="1"/>
    <col min="2" max="2" width="33" customWidth="1"/>
    <col min="3" max="3" width="20.85546875" bestFit="1" customWidth="1"/>
    <col min="4" max="4" width="20.85546875" style="32" customWidth="1"/>
    <col min="5" max="5" width="17.140625" style="32" customWidth="1"/>
    <col min="6" max="6" width="31.140625" style="32" bestFit="1" customWidth="1"/>
    <col min="7" max="7" width="19" style="32" bestFit="1" customWidth="1"/>
    <col min="8" max="8" width="38.7109375" bestFit="1" customWidth="1"/>
    <col min="9" max="9" width="30.42578125" customWidth="1"/>
    <col min="10" max="10" width="18.5703125" customWidth="1"/>
    <col min="11" max="11" width="15.140625" style="32" customWidth="1"/>
    <col min="12" max="12" width="15.5703125" style="32" customWidth="1"/>
    <col min="13" max="13" width="43.5703125" customWidth="1"/>
    <col min="14" max="14" width="61.140625" customWidth="1"/>
    <col min="15" max="15" width="21" bestFit="1" customWidth="1"/>
    <col min="16" max="16" width="53.140625" bestFit="1" customWidth="1"/>
    <col min="17" max="17" width="42.42578125" style="32" bestFit="1" customWidth="1"/>
    <col min="18" max="18" width="53.140625" style="32" bestFit="1" customWidth="1"/>
    <col min="19" max="19" width="21" customWidth="1"/>
    <col min="20" max="20" width="26" bestFit="1" customWidth="1"/>
    <col min="21" max="21" width="17.85546875" customWidth="1"/>
    <col min="22" max="22" width="30.5703125" bestFit="1" customWidth="1"/>
    <col min="23" max="23" width="23.85546875" customWidth="1"/>
    <col min="25" max="25" width="10" customWidth="1"/>
    <col min="28" max="28" width="13.140625" customWidth="1"/>
    <col min="30" max="30" width="18.7109375" customWidth="1"/>
    <col min="31" max="31" width="13.85546875" customWidth="1"/>
  </cols>
  <sheetData>
    <row r="2" spans="1:27" x14ac:dyDescent="0.25">
      <c r="A2" s="16" t="s">
        <v>83</v>
      </c>
      <c r="B2" s="16"/>
      <c r="C2" s="16" t="s">
        <v>82</v>
      </c>
      <c r="D2" s="16"/>
      <c r="E2" s="16"/>
      <c r="F2" s="16"/>
      <c r="G2" s="16"/>
      <c r="H2" s="16" t="s">
        <v>87</v>
      </c>
      <c r="I2" s="16"/>
      <c r="J2" s="16"/>
      <c r="K2" s="16"/>
      <c r="L2" s="16"/>
      <c r="M2" s="16"/>
      <c r="N2" s="16" t="s">
        <v>84</v>
      </c>
      <c r="O2" s="16"/>
      <c r="P2" s="16" t="s">
        <v>85</v>
      </c>
      <c r="Q2" s="16"/>
      <c r="R2" s="16"/>
      <c r="S2" s="16" t="s">
        <v>86</v>
      </c>
      <c r="T2" s="16" t="s">
        <v>40</v>
      </c>
      <c r="U2" s="16" t="s">
        <v>88</v>
      </c>
      <c r="V2" s="16" t="s">
        <v>89</v>
      </c>
      <c r="W2" s="16" t="s">
        <v>90</v>
      </c>
      <c r="X2" s="16"/>
      <c r="Y2" s="17"/>
      <c r="Z2" s="16"/>
      <c r="AA2" s="16"/>
    </row>
    <row r="4" spans="1:27" ht="60" x14ac:dyDescent="0.25">
      <c r="E4" s="101" t="s">
        <v>954</v>
      </c>
      <c r="F4" s="101">
        <f>COUNTIF(Table_ErrorList[Section Name],"Not found")</f>
        <v>0</v>
      </c>
      <c r="G4" s="101"/>
      <c r="H4">
        <f ca="1">SUM(E7:OFFSET(Table_ErrorList[[#Headers],[Section '#]],ROWS(Table_ErrorList[Section '#]),0,1,1))</f>
        <v>1420</v>
      </c>
      <c r="I4" s="127" t="s">
        <v>1006</v>
      </c>
      <c r="J4" s="7" t="s">
        <v>107</v>
      </c>
      <c r="K4" s="7"/>
      <c r="L4" s="7"/>
      <c r="O4" s="7" t="s">
        <v>116</v>
      </c>
      <c r="S4" s="7" t="s">
        <v>117</v>
      </c>
      <c r="T4" t="s">
        <v>929</v>
      </c>
      <c r="U4">
        <f ca="1">COUNTIF(Table_ErrorList[[Message Bar Length]:[Details 2 Length]],"&lt;&gt;"&amp;" ")</f>
        <v>0</v>
      </c>
    </row>
    <row r="5" spans="1:27" x14ac:dyDescent="0.25">
      <c r="A5" t="s">
        <v>255</v>
      </c>
      <c r="B5" t="s">
        <v>256</v>
      </c>
      <c r="C5" t="s">
        <v>105</v>
      </c>
      <c r="D5" s="32" t="s">
        <v>217</v>
      </c>
      <c r="H5" s="32" t="s">
        <v>256</v>
      </c>
      <c r="I5" t="s">
        <v>254</v>
      </c>
      <c r="J5" s="32" t="s">
        <v>256</v>
      </c>
      <c r="M5" s="32" t="s">
        <v>254</v>
      </c>
      <c r="N5" s="32" t="s">
        <v>254</v>
      </c>
      <c r="O5" s="32" t="s">
        <v>254</v>
      </c>
      <c r="P5" s="32" t="s">
        <v>254</v>
      </c>
      <c r="Q5" s="32" t="s">
        <v>254</v>
      </c>
      <c r="R5" s="32" t="s">
        <v>256</v>
      </c>
      <c r="S5" t="s">
        <v>254</v>
      </c>
      <c r="T5" t="s">
        <v>924</v>
      </c>
      <c r="U5">
        <v>150</v>
      </c>
    </row>
    <row r="6" spans="1:27" ht="30" x14ac:dyDescent="0.25">
      <c r="A6" s="85" t="s">
        <v>88</v>
      </c>
      <c r="B6" s="85" t="s">
        <v>151</v>
      </c>
      <c r="C6" s="85" t="s">
        <v>955</v>
      </c>
      <c r="D6" s="85" t="s">
        <v>149</v>
      </c>
      <c r="E6" s="85" t="s">
        <v>936</v>
      </c>
      <c r="F6" s="85" t="s">
        <v>937</v>
      </c>
      <c r="G6" s="85" t="s">
        <v>956</v>
      </c>
      <c r="H6" s="105" t="s">
        <v>250</v>
      </c>
      <c r="I6" s="105" t="s">
        <v>249</v>
      </c>
      <c r="J6" s="125" t="s">
        <v>302</v>
      </c>
      <c r="K6" s="105" t="s">
        <v>303</v>
      </c>
      <c r="L6" s="105" t="s">
        <v>301</v>
      </c>
      <c r="M6" s="85" t="s">
        <v>150</v>
      </c>
      <c r="N6" s="85" t="s">
        <v>89</v>
      </c>
      <c r="O6" s="85" t="s">
        <v>91</v>
      </c>
      <c r="P6" s="85" t="s">
        <v>222</v>
      </c>
      <c r="Q6" s="85" t="s">
        <v>928</v>
      </c>
      <c r="R6" s="85" t="s">
        <v>223</v>
      </c>
      <c r="S6" s="85" t="s">
        <v>92</v>
      </c>
      <c r="T6" s="85" t="s">
        <v>925</v>
      </c>
      <c r="U6" s="85" t="s">
        <v>926</v>
      </c>
      <c r="V6" s="85" t="s">
        <v>927</v>
      </c>
    </row>
    <row r="7" spans="1:27" ht="120" x14ac:dyDescent="0.25">
      <c r="A7" s="107" t="b">
        <v>0</v>
      </c>
      <c r="B7" s="107" t="str">
        <f ca="1">IFERROR(INDIRECT(Table_ErrorList[[#This Row],[Attention To Named Range]]),"Error")</f>
        <v>Error</v>
      </c>
      <c r="C7" s="102">
        <v>1</v>
      </c>
      <c r="D7" s="102" t="str">
        <f ca="1">IF(Table_ErrorList[[#This Row],[Manual Hierarchy]]="",CONCATENATE(TEXT(Table_ErrorList[[#This Row],[Section '#]],"00"),"-",TEXT(COUNTIF($E7:OFFSET(Table_ErrorList[[#Headers],[Section '#]],1,0,1,1),Table_ErrorList[[#This Row],[Section '#]]),"000")),Table_ErrorList[[#This Row],[Manual Hierarchy]])</f>
        <v>00-001</v>
      </c>
      <c r="E7" s="104">
        <v>0</v>
      </c>
      <c r="F7" s="104" t="str">
        <f>IFERROR(VLOOKUP(Table_ErrorList[[#This Row],[Section '#]],Table_SectionNames[],MATCH(Table_SectionNames[[#Headers],[Name]],Table_SectionNames[#Headers],0),FALSE),"Not found")</f>
        <v>Sheet Errors</v>
      </c>
      <c r="G7" s="104"/>
      <c r="H7" s="107" t="str">
        <f>IFERROR(VLOOKUP(Table_ErrorList[[#This Row],[Attention To Named Range]],Table_NamedRanges[],MATCH(Table_NamedRanges[[#Headers],[Reference Type]],Table_NamedRanges[#Headers],0),FALSE),"Error")</f>
        <v>Error</v>
      </c>
      <c r="I7" s="102"/>
      <c r="J7" s="107" t="e">
        <f>IF(Table_ErrorList[[#This Row],[Manual Reference]]="",Table_ErrorList[[#This Row],[''Attention To'' Refence]],Table_ErrorList[[#This Row],[Manual Reference]])&amp;","</f>
        <v>#N/A</v>
      </c>
      <c r="K7" s="107" t="e">
        <f>SUBSTITUTE(SUBSTITUTE(VLOOKUP(Table_ErrorList[[#This Row],[Attention To Named Range]],Table_NamedRanges[],MATCH(Table_NamedRanges[[#Headers],[Reference Text]],Table_NamedRanges[#Headers],0),FALSE),"=",""),"'Travel Expense Summary'!","")</f>
        <v>#N/A</v>
      </c>
      <c r="L7" s="107"/>
      <c r="M7" s="85" t="s">
        <v>1161</v>
      </c>
      <c r="N7" s="85" t="s">
        <v>1139</v>
      </c>
      <c r="O7" s="85" t="b">
        <v>1</v>
      </c>
      <c r="P7" s="106" t="s">
        <v>1140</v>
      </c>
      <c r="Q7" s="124" t="s">
        <v>1141</v>
      </c>
      <c r="R7" s="109" t="str">
        <f>CONCATENATE(Table_ErrorList[[#This Row],[Details Explanation (Line '#1)]],IF(Table_ErrorList[[#This Row],[Details Explanation (Line '#2)]]&lt;&gt;"",CHAR(10)&amp;Table_ErrorList[[#This Row],[Details Explanation (Line '#2)]],""))</f>
        <v>This error is caused by using "Cut &amp; Paste" or "Copy &amp; Paste" as opposed to "Copy &amp; Paste Values".
Undo' your work until the error is resolved.</v>
      </c>
      <c r="S7" s="85" t="b">
        <v>1</v>
      </c>
      <c r="T7" s="107" t="str">
        <f>IF(LEN(Table_ErrorList[[#This Row],[Message Bar Display]])&gt;$U$5,"Too Long, Characters = "&amp;LEN(Table_ErrorList[[#This Row],[Message Bar Display]])," ")</f>
        <v xml:space="preserve"> </v>
      </c>
      <c r="U7" s="107" t="str">
        <f>IF(LEN(Table_ErrorList[[#This Row],[Details Explanation (Line '#1)]])&gt;$U$5,"Too Long, Characters = "&amp;LEN(Table_ErrorList[[#This Row],[Details Explanation (Line '#1)]])," ")</f>
        <v xml:space="preserve"> </v>
      </c>
      <c r="V7" s="107" t="str">
        <f>IF(LEN(Table_ErrorList[[#This Row],[Details Explanation (Line '#2)]])&gt;$U$5,"Too Long, Characters = "&amp;LEN(Table_ErrorList[[#This Row],[Details Explanation (Line '#2)]])," ")</f>
        <v xml:space="preserve"> </v>
      </c>
    </row>
    <row r="8" spans="1:27" x14ac:dyDescent="0.25">
      <c r="A8" s="85" t="b">
        <f>FALSE</f>
        <v>0</v>
      </c>
      <c r="B8" s="85">
        <f ca="1">IFERROR(INDIRECT(Table_ErrorList[[#This Row],[Attention To Named Range]]),"Error")</f>
        <v>0</v>
      </c>
      <c r="C8" s="102">
        <v>10</v>
      </c>
      <c r="D8" s="103" t="str">
        <f ca="1">IF(Table_ErrorList[[#This Row],[Manual Hierarchy]]="",CONCATENATE(TEXT(Table_ErrorList[[#This Row],[Section '#]],"00"),"-",TEXT(COUNTIF($E8:OFFSET(Table_ErrorList[[#Headers],[Section '#]],1,0,1,1),Table_ErrorList[[#This Row],[Section '#]]),"000")),Table_ErrorList[[#This Row],[Manual Hierarchy]])</f>
        <v>01-001</v>
      </c>
      <c r="E8" s="104">
        <v>1</v>
      </c>
      <c r="F8" s="104" t="str">
        <f>IFERROR(VLOOKUP(Table_ErrorList[[#This Row],[Section '#]],Table_SectionNames[],MATCH(Table_SectionNames[[#Headers],[Name]],Table_SectionNames[#Headers],0),FALSE),"Not found")</f>
        <v>Payee Details</v>
      </c>
      <c r="G8" s="104"/>
      <c r="H8" s="85" t="str">
        <f>IFERROR(VLOOKUP(Table_ErrorList[[#This Row],[Attention To Named Range]],Table_NamedRanges[],MATCH(Table_NamedRanges[[#Headers],[Reference Type]],Table_NamedRanges[#Headers],0),FALSE),"Error")</f>
        <v>Single Cell</v>
      </c>
      <c r="I8" s="105" t="s">
        <v>126</v>
      </c>
      <c r="J8" s="85" t="str">
        <f>IF(Table_ErrorList[[#This Row],[Manual Reference]]="",Table_ErrorList[[#This Row],[''Attention To'' Refence]],Table_ErrorList[[#This Row],[Manual Reference]])&amp;","</f>
        <v>$C$12,</v>
      </c>
      <c r="K8" s="85" t="str">
        <f>SUBSTITUTE(SUBSTITUTE(VLOOKUP(Table_ErrorList[[#This Row],[Attention To Named Range]],Table_NamedRanges[],MATCH(Table_NamedRanges[[#Headers],[Reference Text]],Table_NamedRanges[#Headers],0),FALSE),"=",""),"'Travel Expense Summary'!","")</f>
        <v>$C$12</v>
      </c>
      <c r="L8" s="85"/>
      <c r="M8" s="85" t="s">
        <v>106</v>
      </c>
      <c r="N8" s="85" t="s">
        <v>1199</v>
      </c>
      <c r="O8" s="85" t="b">
        <v>1</v>
      </c>
      <c r="P8" s="106" t="s">
        <v>1117</v>
      </c>
      <c r="Q8" s="106"/>
      <c r="R8" s="106" t="str">
        <f>CONCATENATE(Table_ErrorList[[#This Row],[Details Explanation (Line '#1)]],IF(Table_ErrorList[[#This Row],[Details Explanation (Line '#2)]]&lt;&gt;"",CHAR(10)&amp;Table_ErrorList[[#This Row],[Details Explanation (Line '#2)]],""))</f>
        <v xml:space="preserve">This is a free text field with a 15 character limit. </v>
      </c>
      <c r="S8" s="85" t="b">
        <v>1</v>
      </c>
      <c r="T8" s="85" t="str">
        <f>IF(LEN(Table_ErrorList[[#This Row],[Message Bar Display]])&gt;$U$5,"Too Long, Characters = "&amp;LEN(Table_ErrorList[[#This Row],[Message Bar Display]])," ")</f>
        <v xml:space="preserve"> </v>
      </c>
      <c r="U8" s="85" t="str">
        <f>IF(LEN(Table_ErrorList[[#This Row],[Details Explanation (Line '#1)]])&gt;$U$5,"Too Long, Characters = "&amp;LEN(Table_ErrorList[[#This Row],[Details Explanation (Line '#1)]])," ")</f>
        <v xml:space="preserve"> </v>
      </c>
      <c r="V8" s="85" t="str">
        <f>IF(LEN(Table_ErrorList[[#This Row],[Details Explanation (Line '#2)]])&gt;$U$5,"Too Long, Characters = "&amp;LEN(Table_ErrorList[[#This Row],[Details Explanation (Line '#2)]])," ")</f>
        <v xml:space="preserve"> </v>
      </c>
    </row>
    <row r="9" spans="1:27" x14ac:dyDescent="0.25">
      <c r="A9" s="85" t="b">
        <f ca="1">OR(ISBLANK(Table_ErrorList[[#This Row],[Relevant Cell Value]]),Table_ErrorList[[#This Row],[Relevant Cell Value]]=Dropdown_NotSelectedValue,Table_ErrorList[[#This Row],[Relevant Cell Value]]=0)</f>
        <v>1</v>
      </c>
      <c r="B9" s="85">
        <f ca="1">IFERROR(INDIRECT(Table_ErrorList[[#This Row],[Attention To Named Range]]),"Error")</f>
        <v>0</v>
      </c>
      <c r="C9" s="102">
        <v>20</v>
      </c>
      <c r="D9" s="102" t="str">
        <f ca="1">IF(Table_ErrorList[[#This Row],[Manual Hierarchy]]="",CONCATENATE(TEXT(Table_ErrorList[[#This Row],[Section '#]],"00"),"-",TEXT(COUNTIF($E9:OFFSET(Table_ErrorList[[#Headers],[Section '#]],1,0,1,1),Table_ErrorList[[#This Row],[Section '#]]),"000")),Table_ErrorList[[#This Row],[Manual Hierarchy]])</f>
        <v>01-002</v>
      </c>
      <c r="E9" s="104">
        <v>1</v>
      </c>
      <c r="F9" s="104" t="str">
        <f>IFERROR(VLOOKUP(Table_ErrorList[[#This Row],[Section '#]],Table_SectionNames[],MATCH(Table_SectionNames[[#Headers],[Name]],Table_SectionNames[#Headers],0),FALSE),"Not found")</f>
        <v>Payee Details</v>
      </c>
      <c r="G9" s="104"/>
      <c r="H9" s="85" t="str">
        <f>IFERROR(VLOOKUP(Table_ErrorList[[#This Row],[Attention To Named Range]],Table_NamedRanges[],MATCH(Table_NamedRanges[[#Headers],[Reference Type]],Table_NamedRanges[#Headers],0),FALSE),"Error")</f>
        <v>Single Cell</v>
      </c>
      <c r="I9" s="85" t="s">
        <v>127</v>
      </c>
      <c r="J9" s="85" t="str">
        <f>IF(Table_ErrorList[[#This Row],[Manual Reference]]="",Table_ErrorList[[#This Row],[''Attention To'' Refence]],Table_ErrorList[[#This Row],[Manual Reference]])&amp;","</f>
        <v>$C$13,</v>
      </c>
      <c r="K9" s="85" t="str">
        <f>SUBSTITUTE(SUBSTITUTE(VLOOKUP(Table_ErrorList[[#This Row],[Attention To Named Range]],Table_NamedRanges[],MATCH(Table_NamedRanges[[#Headers],[Reference Text]],Table_NamedRanges[#Headers],0),FALSE),"=",""),"'Travel Expense Summary'!","")</f>
        <v>$C$13</v>
      </c>
      <c r="L9" s="85"/>
      <c r="M9" s="85" t="s">
        <v>108</v>
      </c>
      <c r="N9" s="85" t="s">
        <v>1198</v>
      </c>
      <c r="O9" s="85" t="b">
        <v>1</v>
      </c>
      <c r="P9" s="106" t="s">
        <v>123</v>
      </c>
      <c r="Q9" s="106"/>
      <c r="R9" s="106" t="str">
        <f>CONCATENATE(Table_ErrorList[[#This Row],[Details Explanation (Line '#1)]],IF(Table_ErrorList[[#This Row],[Details Explanation (Line '#2)]]&lt;&gt;"",CHAR(10)&amp;Table_ErrorList[[#This Row],[Details Explanation (Line '#2)]],""))</f>
        <v xml:space="preserve">This is a free text field with a 40 character limit. </v>
      </c>
      <c r="S9" s="85" t="b">
        <v>1</v>
      </c>
      <c r="T9" s="85" t="str">
        <f>IF(LEN(Table_ErrorList[[#This Row],[Message Bar Display]])&gt;$U$5,"Too Long, Characters = "&amp;LEN(Table_ErrorList[[#This Row],[Message Bar Display]])," ")</f>
        <v xml:space="preserve"> </v>
      </c>
      <c r="U9" s="85" t="str">
        <f>IF(LEN(Table_ErrorList[[#This Row],[Details Explanation (Line '#1)]])&gt;$U$5,"Too Long, Characters = "&amp;LEN(Table_ErrorList[[#This Row],[Details Explanation (Line '#1)]])," ")</f>
        <v xml:space="preserve"> </v>
      </c>
      <c r="V9" s="85" t="str">
        <f>IF(LEN(Table_ErrorList[[#This Row],[Details Explanation (Line '#2)]])&gt;$U$5,"Too Long, Characters = "&amp;LEN(Table_ErrorList[[#This Row],[Details Explanation (Line '#2)]])," ")</f>
        <v xml:space="preserve"> </v>
      </c>
    </row>
    <row r="10" spans="1:27" x14ac:dyDescent="0.25">
      <c r="A10" s="85" t="b">
        <f ca="1">OR(ISBLANK(Table_ErrorList[[#This Row],[Relevant Cell Value]]),Table_ErrorList[[#This Row],[Relevant Cell Value]]=Dropdown_NotSelectedValue,Table_ErrorList[[#This Row],[Relevant Cell Value]]=0)</f>
        <v>1</v>
      </c>
      <c r="B10" s="85">
        <f ca="1">IFERROR(INDIRECT(Table_ErrorList[[#This Row],[Attention To Named Range]]),"Error")</f>
        <v>0</v>
      </c>
      <c r="C10" s="102">
        <v>30</v>
      </c>
      <c r="D10" s="102" t="str">
        <f ca="1">IF(Table_ErrorList[[#This Row],[Manual Hierarchy]]="",CONCATENATE(TEXT(Table_ErrorList[[#This Row],[Section '#]],"00"),"-",TEXT(COUNTIF($E10:OFFSET(Table_ErrorList[[#Headers],[Section '#]],1,0,1,1),Table_ErrorList[[#This Row],[Section '#]]),"000")),Table_ErrorList[[#This Row],[Manual Hierarchy]])</f>
        <v>01-003</v>
      </c>
      <c r="E10" s="104">
        <v>1</v>
      </c>
      <c r="F10" s="104" t="str">
        <f>IFERROR(VLOOKUP(Table_ErrorList[[#This Row],[Section '#]],Table_SectionNames[],MATCH(Table_SectionNames[[#Headers],[Name]],Table_SectionNames[#Headers],0),FALSE),"Not found")</f>
        <v>Payee Details</v>
      </c>
      <c r="G10" s="104"/>
      <c r="H10" s="85" t="str">
        <f>IFERROR(VLOOKUP(Table_ErrorList[[#This Row],[Attention To Named Range]],Table_NamedRanges[],MATCH(Table_NamedRanges[[#Headers],[Reference Type]],Table_NamedRanges[#Headers],0),FALSE),"Error")</f>
        <v>Single Cell</v>
      </c>
      <c r="I10" s="85" t="s">
        <v>128</v>
      </c>
      <c r="J10" s="85" t="str">
        <f>IF(Table_ErrorList[[#This Row],[Manual Reference]]="",Table_ErrorList[[#This Row],[''Attention To'' Refence]],Table_ErrorList[[#This Row],[Manual Reference]])&amp;","</f>
        <v>$C$14,</v>
      </c>
      <c r="K10" s="85" t="str">
        <f>SUBSTITUTE(SUBSTITUTE(VLOOKUP(Table_ErrorList[[#This Row],[Attention To Named Range]],Table_NamedRanges[],MATCH(Table_NamedRanges[[#Headers],[Reference Text]],Table_NamedRanges[#Headers],0),FALSE),"=",""),"'Travel Expense Summary'!","")</f>
        <v>$C$14</v>
      </c>
      <c r="L10" s="85"/>
      <c r="M10" s="85" t="s">
        <v>109</v>
      </c>
      <c r="N10" s="85" t="s">
        <v>1197</v>
      </c>
      <c r="O10" s="85" t="b">
        <v>1</v>
      </c>
      <c r="P10" s="106" t="s">
        <v>123</v>
      </c>
      <c r="Q10" s="106"/>
      <c r="R10" s="106" t="str">
        <f>CONCATENATE(Table_ErrorList[[#This Row],[Details Explanation (Line '#1)]],IF(Table_ErrorList[[#This Row],[Details Explanation (Line '#2)]]&lt;&gt;"",CHAR(10)&amp;Table_ErrorList[[#This Row],[Details Explanation (Line '#2)]],""))</f>
        <v xml:space="preserve">This is a free text field with a 40 character limit. </v>
      </c>
      <c r="S10" s="85" t="b">
        <v>1</v>
      </c>
      <c r="T10" s="85" t="str">
        <f>IF(LEN(Table_ErrorList[[#This Row],[Message Bar Display]])&gt;$U$5,"Too Long, Characters = "&amp;LEN(Table_ErrorList[[#This Row],[Message Bar Display]])," ")</f>
        <v xml:space="preserve"> </v>
      </c>
      <c r="U10" s="85" t="str">
        <f>IF(LEN(Table_ErrorList[[#This Row],[Details Explanation (Line '#1)]])&gt;$U$5,"Too Long, Characters = "&amp;LEN(Table_ErrorList[[#This Row],[Details Explanation (Line '#1)]])," ")</f>
        <v xml:space="preserve"> </v>
      </c>
      <c r="V10" s="85" t="str">
        <f>IF(LEN(Table_ErrorList[[#This Row],[Details Explanation (Line '#2)]])&gt;$U$5,"Too Long, Characters = "&amp;LEN(Table_ErrorList[[#This Row],[Details Explanation (Line '#2)]])," ")</f>
        <v xml:space="preserve"> </v>
      </c>
    </row>
    <row r="11" spans="1:27" ht="33.75" x14ac:dyDescent="0.25">
      <c r="A11" s="85" t="b">
        <f ca="1">OR(ISBLANK(Table_ErrorList[[#This Row],[Relevant Cell Value]]),Table_ErrorList[[#This Row],[Relevant Cell Value]]=Dropdown_NotSelectedValue,Table_ErrorList[[#This Row],[Relevant Cell Value]]=0)</f>
        <v>1</v>
      </c>
      <c r="B11" s="107">
        <f ca="1">IFERROR(INDIRECT(Table_ErrorList[[#This Row],[Attention To Named Range]]),"Error")</f>
        <v>0</v>
      </c>
      <c r="C11" s="102">
        <v>40</v>
      </c>
      <c r="D11" s="102" t="str">
        <f ca="1">IF(Table_ErrorList[[#This Row],[Manual Hierarchy]]="",CONCATENATE(TEXT(Table_ErrorList[[#This Row],[Section '#]],"00"),"-",TEXT(COUNTIF($E11:OFFSET(Table_ErrorList[[#Headers],[Section '#]],1,0,1,1),Table_ErrorList[[#This Row],[Section '#]]),"000")),Table_ErrorList[[#This Row],[Manual Hierarchy]])</f>
        <v>01-004</v>
      </c>
      <c r="E11" s="104">
        <v>1</v>
      </c>
      <c r="F11" s="104" t="str">
        <f>IFERROR(VLOOKUP(Table_ErrorList[[#This Row],[Section '#]],Table_SectionNames[],MATCH(Table_SectionNames[[#Headers],[Name]],Table_SectionNames[#Headers],0),FALSE),"Not found")</f>
        <v>Payee Details</v>
      </c>
      <c r="G11" s="104"/>
      <c r="H11" s="85" t="str">
        <f>IFERROR(VLOOKUP(Table_ErrorList[[#This Row],[Attention To Named Range]],Table_NamedRanges[],MATCH(Table_NamedRanges[[#Headers],[Reference Type]],Table_NamedRanges[#Headers],0),FALSE),"Error")</f>
        <v>Single Cell</v>
      </c>
      <c r="I11" s="85" t="s">
        <v>193</v>
      </c>
      <c r="J11" s="107" t="str">
        <f>IF(Table_ErrorList[[#This Row],[Manual Reference]]="",Table_ErrorList[[#This Row],[''Attention To'' Refence]],Table_ErrorList[[#This Row],[Manual Reference]])&amp;","</f>
        <v>$C$15,</v>
      </c>
      <c r="K11" s="107" t="str">
        <f>SUBSTITUTE(SUBSTITUTE(VLOOKUP(Table_ErrorList[[#This Row],[Attention To Named Range]],Table_NamedRanges[],MATCH(Table_NamedRanges[[#Headers],[Reference Text]],Table_NamedRanges[#Headers],0),FALSE),"=",""),"'Travel Expense Summary'!","")</f>
        <v>$C$15</v>
      </c>
      <c r="L11" s="107"/>
      <c r="M11" s="85" t="s">
        <v>156</v>
      </c>
      <c r="N11" s="85" t="s">
        <v>1196</v>
      </c>
      <c r="O11" s="85" t="b">
        <v>1</v>
      </c>
      <c r="P11" s="106" t="s">
        <v>123</v>
      </c>
      <c r="Q11" s="106" t="s">
        <v>1200</v>
      </c>
      <c r="R11" s="106" t="str">
        <f>CONCATENATE(Table_ErrorList[[#This Row],[Details Explanation (Line '#1)]],IF(Table_ErrorList[[#This Row],[Details Explanation (Line '#2)]]&lt;&gt;"",CHAR(10)&amp;Table_ErrorList[[#This Row],[Details Explanation (Line '#2)]],""))</f>
        <v>This is a free text field with a 40 character limit. 
If details of your address do not fit in this field, include them in the 'Additional Details' field.</v>
      </c>
      <c r="S11" s="85" t="b">
        <v>1</v>
      </c>
      <c r="T11" s="85" t="str">
        <f>IF(LEN(Table_ErrorList[[#This Row],[Message Bar Display]])&gt;$U$5,"Too Long, Characters = "&amp;LEN(Table_ErrorList[[#This Row],[Message Bar Display]])," ")</f>
        <v xml:space="preserve"> </v>
      </c>
      <c r="U11" s="85" t="str">
        <f>IF(LEN(Table_ErrorList[[#This Row],[Details Explanation (Line '#1)]])&gt;$U$5,"Too Long, Characters = "&amp;LEN(Table_ErrorList[[#This Row],[Details Explanation (Line '#1)]])," ")</f>
        <v xml:space="preserve"> </v>
      </c>
      <c r="V11" s="85" t="str">
        <f>IF(LEN(Table_ErrorList[[#This Row],[Details Explanation (Line '#2)]])&gt;$U$5,"Too Long, Characters = "&amp;LEN(Table_ErrorList[[#This Row],[Details Explanation (Line '#2)]])," ")</f>
        <v xml:space="preserve"> </v>
      </c>
    </row>
    <row r="12" spans="1:27" s="32" customFormat="1" x14ac:dyDescent="0.25">
      <c r="A12" s="85" t="b">
        <f ca="1">OR(ISBLANK(Table_ErrorList[[#This Row],[Relevant Cell Value]]),Table_ErrorList[[#This Row],[Relevant Cell Value]]=Dropdown_NotSelectedValue,Table_ErrorList[[#This Row],[Relevant Cell Value]]=0)</f>
        <v>1</v>
      </c>
      <c r="B12" s="107">
        <f ca="1">IFERROR(INDIRECT(Table_ErrorList[[#This Row],[Attention To Named Range]]),"Error")</f>
        <v>0</v>
      </c>
      <c r="C12" s="102">
        <v>50</v>
      </c>
      <c r="D12" s="102" t="str">
        <f ca="1">IF(Table_ErrorList[[#This Row],[Manual Hierarchy]]="",CONCATENATE(TEXT(Table_ErrorList[[#This Row],[Section '#]],"00"),"-",TEXT(COUNTIF($E12:OFFSET(Table_ErrorList[[#Headers],[Section '#]],1,0,1,1),Table_ErrorList[[#This Row],[Section '#]]),"000")),Table_ErrorList[[#This Row],[Manual Hierarchy]])</f>
        <v>01-005</v>
      </c>
      <c r="E12" s="104">
        <v>1</v>
      </c>
      <c r="F12" s="104" t="str">
        <f>IFERROR(VLOOKUP(Table_ErrorList[[#This Row],[Section '#]],Table_SectionNames[],MATCH(Table_SectionNames[[#Headers],[Name]],Table_SectionNames[#Headers],0),FALSE),"Not found")</f>
        <v>Payee Details</v>
      </c>
      <c r="G12" s="104"/>
      <c r="H12" s="85" t="str">
        <f>IFERROR(VLOOKUP(Table_ErrorList[[#This Row],[Attention To Named Range]],Table_NamedRanges[],MATCH(Table_NamedRanges[[#Headers],[Reference Type]],Table_NamedRanges[#Headers],0),FALSE),"Error")</f>
        <v>Single Cell</v>
      </c>
      <c r="I12" s="85" t="s">
        <v>401</v>
      </c>
      <c r="J12" s="107" t="str">
        <f>IF(Table_ErrorList[[#This Row],[Manual Reference]]="",Table_ErrorList[[#This Row],[''Attention To'' Refence]],Table_ErrorList[[#This Row],[Manual Reference]])&amp;","</f>
        <v>$C$16,</v>
      </c>
      <c r="K12" s="107" t="str">
        <f>SUBSTITUTE(SUBSTITUTE(VLOOKUP(Table_ErrorList[[#This Row],[Attention To Named Range]],Table_NamedRanges[],MATCH(Table_NamedRanges[[#Headers],[Reference Text]],Table_NamedRanges[#Headers],0),FALSE),"=",""),"'Travel Expense Summary'!","")</f>
        <v>$C$16</v>
      </c>
      <c r="L12" s="107"/>
      <c r="M12" s="85" t="s">
        <v>460</v>
      </c>
      <c r="N12" s="85" t="s">
        <v>1195</v>
      </c>
      <c r="O12" s="85" t="b">
        <v>1</v>
      </c>
      <c r="P12" s="106" t="s">
        <v>123</v>
      </c>
      <c r="Q12" s="106"/>
      <c r="R12" s="106" t="str">
        <f>CONCATENATE(Table_ErrorList[[#This Row],[Details Explanation (Line '#1)]],IF(Table_ErrorList[[#This Row],[Details Explanation (Line '#2)]]&lt;&gt;"",CHAR(10)&amp;Table_ErrorList[[#This Row],[Details Explanation (Line '#2)]],""))</f>
        <v xml:space="preserve">This is a free text field with a 40 character limit. </v>
      </c>
      <c r="S12" s="85" t="b">
        <v>1</v>
      </c>
      <c r="T12" s="85" t="str">
        <f>IF(LEN(Table_ErrorList[[#This Row],[Message Bar Display]])&gt;$U$5,"Too Long, Characters = "&amp;LEN(Table_ErrorList[[#This Row],[Message Bar Display]])," ")</f>
        <v xml:space="preserve"> </v>
      </c>
      <c r="U12" s="85" t="str">
        <f>IF(LEN(Table_ErrorList[[#This Row],[Details Explanation (Line '#1)]])&gt;$U$5,"Too Long, Characters = "&amp;LEN(Table_ErrorList[[#This Row],[Details Explanation (Line '#1)]])," ")</f>
        <v xml:space="preserve"> </v>
      </c>
      <c r="V12" s="85" t="str">
        <f>IF(LEN(Table_ErrorList[[#This Row],[Details Explanation (Line '#2)]])&gt;$U$5,"Too Long, Characters = "&amp;LEN(Table_ErrorList[[#This Row],[Details Explanation (Line '#2)]])," ")</f>
        <v xml:space="preserve"> </v>
      </c>
    </row>
    <row r="13" spans="1:27" ht="45" x14ac:dyDescent="0.25">
      <c r="A13" s="107" t="b">
        <f ca="1">OR(ISBLANK(Table_ErrorList[[#This Row],[Relevant Cell Value]]),Table_ErrorList[[#This Row],[Relevant Cell Value]]=Dropdown_NotSelectedValue,Table_ErrorList[[#This Row],[Relevant Cell Value]]=0)</f>
        <v>1</v>
      </c>
      <c r="B13" s="107" t="str">
        <f ca="1">IFERROR(INDIRECT(Table_ErrorList[[#This Row],[Attention To Named Range]]),"Error")</f>
        <v>Select</v>
      </c>
      <c r="C13" s="102">
        <v>55</v>
      </c>
      <c r="D13" s="102" t="str">
        <f ca="1">IF(Table_ErrorList[[#This Row],[Manual Hierarchy]]="",CONCATENATE(TEXT(Table_ErrorList[[#This Row],[Section '#]],"00"),"-",TEXT(COUNTIF($E13:OFFSET(Table_ErrorList[[#Headers],[Section '#]],1,0,1,1),Table_ErrorList[[#This Row],[Section '#]]),"000")),Table_ErrorList[[#This Row],[Manual Hierarchy]])</f>
        <v>01-006</v>
      </c>
      <c r="E13" s="104">
        <v>1</v>
      </c>
      <c r="F13" s="104" t="str">
        <f>IFERROR(VLOOKUP(Table_ErrorList[[#This Row],[Section '#]],Table_SectionNames[],MATCH(Table_SectionNames[[#Headers],[Name]],Table_SectionNames[#Headers],0),FALSE),"Not found")</f>
        <v>Payee Details</v>
      </c>
      <c r="G13" s="104"/>
      <c r="H13" s="107" t="str">
        <f>IFERROR(VLOOKUP(Table_ErrorList[[#This Row],[Attention To Named Range]],Table_NamedRanges[],MATCH(Table_NamedRanges[[#Headers],[Reference Type]],Table_NamedRanges[#Headers],0),FALSE),"Error")</f>
        <v>Single Cell</v>
      </c>
      <c r="I13" s="102" t="s">
        <v>402</v>
      </c>
      <c r="J13" s="107" t="str">
        <f>IF(Table_ErrorList[[#This Row],[Manual Reference]]="",Table_ErrorList[[#This Row],[''Attention To'' Refence]],Table_ErrorList[[#This Row],[Manual Reference]])&amp;","</f>
        <v>$C$17,</v>
      </c>
      <c r="K13" s="107" t="str">
        <f>SUBSTITUTE(SUBSTITUTE(VLOOKUP(Table_ErrorList[[#This Row],[Attention To Named Range]],Table_NamedRanges[],MATCH(Table_NamedRanges[[#Headers],[Reference Text]],Table_NamedRanges[#Headers],0),FALSE),"=",""),"'Travel Expense Summary'!","")</f>
        <v>$C$17</v>
      </c>
      <c r="L13" s="107"/>
      <c r="M13" s="85" t="s">
        <v>461</v>
      </c>
      <c r="N13" s="85" t="s">
        <v>1194</v>
      </c>
      <c r="O13" s="85" t="b">
        <v>1</v>
      </c>
      <c r="P13" s="106" t="s">
        <v>1091</v>
      </c>
      <c r="Q13" s="106" t="s">
        <v>1092</v>
      </c>
      <c r="R13" s="108" t="str">
        <f>CONCATENATE(Table_ErrorList[[#This Row],[Details Explanation (Line '#1)]],IF(Table_ErrorList[[#This Row],[Details Explanation (Line '#2)]]&lt;&gt;"",CHAR(10)&amp;Table_ErrorList[[#This Row],[Details Explanation (Line '#2)]],""))</f>
        <v>If your address is in Canada, select the 'Province' abbreviation from the in-cell dropdown list.
If your address is outside of Canada, select 'Not in Canada' and include your country and postal code in the 'Additional Details' field.</v>
      </c>
      <c r="S13" s="85" t="b">
        <v>1</v>
      </c>
      <c r="T13" s="85" t="str">
        <f>IF(LEN(Table_ErrorList[[#This Row],[Message Bar Display]])&gt;$U$5,"Too Long, Characters = "&amp;LEN(Table_ErrorList[[#This Row],[Message Bar Display]])," ")</f>
        <v xml:space="preserve"> </v>
      </c>
      <c r="U13" s="85" t="str">
        <f>IF(LEN(Table_ErrorList[[#This Row],[Details Explanation (Line '#1)]])&gt;$U$5,"Too Long, Characters = "&amp;LEN(Table_ErrorList[[#This Row],[Details Explanation (Line '#1)]])," ")</f>
        <v xml:space="preserve"> </v>
      </c>
      <c r="V13" s="85" t="str">
        <f>IF(LEN(Table_ErrorList[[#This Row],[Details Explanation (Line '#2)]])&gt;$U$5,"Too Long, Characters = "&amp;LEN(Table_ErrorList[[#This Row],[Details Explanation (Line '#2)]])," ")</f>
        <v xml:space="preserve"> </v>
      </c>
    </row>
    <row r="14" spans="1:27" ht="33.75" x14ac:dyDescent="0.25">
      <c r="A14" s="85" t="b">
        <f ca="1">IF(Field06A_Province&lt;&gt;'Particulars Validation'!$R$21,OR(ISBLANK(Table_ErrorList[[#This Row],[Relevant Cell Value]]),Table_ErrorList[[#This Row],[Relevant Cell Value]]=Dropdown_NotSelectedValue,Table_ErrorList[[#This Row],[Relevant Cell Value]]=0),FALSE)</f>
        <v>1</v>
      </c>
      <c r="B14" s="107">
        <f ca="1">IFERROR(INDIRECT(Table_ErrorList[[#This Row],[Attention To Named Range]]),"Error")</f>
        <v>0</v>
      </c>
      <c r="C14" s="102">
        <v>60</v>
      </c>
      <c r="D14" s="102" t="str">
        <f ca="1">IF(Table_ErrorList[[#This Row],[Manual Hierarchy]]="",CONCATENATE(TEXT(Table_ErrorList[[#This Row],[Section '#]],"00"),"-",TEXT(COUNTIF($E14:OFFSET(Table_ErrorList[[#Headers],[Section '#]],1,0,1,1),Table_ErrorList[[#This Row],[Section '#]]),"000")),Table_ErrorList[[#This Row],[Manual Hierarchy]])</f>
        <v>01-007</v>
      </c>
      <c r="E14" s="104">
        <v>1</v>
      </c>
      <c r="F14" s="104" t="str">
        <f>IFERROR(VLOOKUP(Table_ErrorList[[#This Row],[Section '#]],Table_SectionNames[],MATCH(Table_SectionNames[[#Headers],[Name]],Table_SectionNames[#Headers],0),FALSE),"Not found")</f>
        <v>Payee Details</v>
      </c>
      <c r="G14" s="104"/>
      <c r="H14" s="85" t="str">
        <f>IFERROR(VLOOKUP(Table_ErrorList[[#This Row],[Attention To Named Range]],Table_NamedRanges[],MATCH(Table_NamedRanges[[#Headers],[Reference Type]],Table_NamedRanges[#Headers],0),FALSE),"Error")</f>
        <v>Single Cell</v>
      </c>
      <c r="I14" s="85" t="s">
        <v>403</v>
      </c>
      <c r="J14" s="107" t="str">
        <f>IF(Table_ErrorList[[#This Row],[Manual Reference]]="",Table_ErrorList[[#This Row],[''Attention To'' Refence]],Table_ErrorList[[#This Row],[Manual Reference]])&amp;","</f>
        <v>$E$17,</v>
      </c>
      <c r="K14" s="107" t="str">
        <f>SUBSTITUTE(SUBSTITUTE(VLOOKUP(Table_ErrorList[[#This Row],[Attention To Named Range]],Table_NamedRanges[],MATCH(Table_NamedRanges[[#Headers],[Reference Text]],Table_NamedRanges[#Headers],0),FALSE),"=",""),"'Travel Expense Summary'!","")</f>
        <v>$E$17</v>
      </c>
      <c r="L14" s="107"/>
      <c r="M14" s="85" t="s">
        <v>157</v>
      </c>
      <c r="N14" s="85" t="s">
        <v>1193</v>
      </c>
      <c r="O14" s="85" t="b">
        <v>1</v>
      </c>
      <c r="P14" s="106" t="s">
        <v>1259</v>
      </c>
      <c r="Q14" s="106" t="s">
        <v>1260</v>
      </c>
      <c r="R14" s="106" t="str">
        <f>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4" s="85" t="b">
        <v>1</v>
      </c>
      <c r="T14" s="85" t="str">
        <f>IF(LEN(Table_ErrorList[[#This Row],[Message Bar Display]])&gt;$U$5,"Too Long, Characters = "&amp;LEN(Table_ErrorList[[#This Row],[Message Bar Display]])," ")</f>
        <v xml:space="preserve"> </v>
      </c>
      <c r="U14" s="85" t="str">
        <f>IF(LEN(Table_ErrorList[[#This Row],[Details Explanation (Line '#1)]])&gt;$U$5,"Too Long, Characters = "&amp;LEN(Table_ErrorList[[#This Row],[Details Explanation (Line '#1)]])," ")</f>
        <v xml:space="preserve"> </v>
      </c>
      <c r="V14" s="85" t="str">
        <f>IF(LEN(Table_ErrorList[[#This Row],[Details Explanation (Line '#2)]])&gt;$U$5,"Too Long, Characters = "&amp;LEN(Table_ErrorList[[#This Row],[Details Explanation (Line '#2)]])," ")</f>
        <v xml:space="preserve"> </v>
      </c>
    </row>
    <row r="15" spans="1:27" s="32" customFormat="1" ht="33.75" x14ac:dyDescent="0.25">
      <c r="A15" s="107" t="b">
        <f>IF(Field06A_Province&lt;&gt;'Particulars Validation'!$R$21,'Particulars Validation'!$W$16=FALSE,FALSE)</f>
        <v>1</v>
      </c>
      <c r="B15" s="107">
        <f ca="1">IFERROR(INDIRECT(Table_ErrorList[[#This Row],[Attention To Named Range]]),"Error")</f>
        <v>0</v>
      </c>
      <c r="C15" s="102">
        <v>61</v>
      </c>
      <c r="D15" s="102" t="str">
        <f ca="1">IF(Table_ErrorList[[#This Row],[Manual Hierarchy]]="",CONCATENATE(TEXT(Table_ErrorList[[#This Row],[Section '#]],"00"),"-",TEXT(COUNTIF($E15:OFFSET(Table_ErrorList[[#Headers],[Section '#]],1,0,1,1),Table_ErrorList[[#This Row],[Section '#]]),"000")),Table_ErrorList[[#This Row],[Manual Hierarchy]])</f>
        <v>01-008</v>
      </c>
      <c r="E15" s="104">
        <v>1</v>
      </c>
      <c r="F15" s="104" t="str">
        <f>IFERROR(VLOOKUP(Table_ErrorList[[#This Row],[Section '#]],Table_SectionNames[],MATCH(Table_SectionNames[[#Headers],[Name]],Table_SectionNames[#Headers],0),FALSE),"Not found")</f>
        <v>Payee Details</v>
      </c>
      <c r="G15" s="104"/>
      <c r="H15" s="107" t="str">
        <f>IFERROR(VLOOKUP(Table_ErrorList[[#This Row],[Attention To Named Range]],Table_NamedRanges[],MATCH(Table_NamedRanges[[#Headers],[Reference Type]],Table_NamedRanges[#Headers],0),FALSE),"Error")</f>
        <v>Single Cell</v>
      </c>
      <c r="I15" s="102" t="s">
        <v>403</v>
      </c>
      <c r="J15" s="107" t="str">
        <f>IF(Table_ErrorList[[#This Row],[Manual Reference]]="",Table_ErrorList[[#This Row],[''Attention To'' Refence]],Table_ErrorList[[#This Row],[Manual Reference]])&amp;","</f>
        <v>$E$17,</v>
      </c>
      <c r="K15" s="107" t="str">
        <f>SUBSTITUTE(SUBSTITUTE(VLOOKUP(Table_ErrorList[[#This Row],[Attention To Named Range]],Table_NamedRanges[],MATCH(Table_NamedRanges[[#Headers],[Reference Text]],Table_NamedRanges[#Headers],0),FALSE),"=",""),"'Travel Expense Summary'!","")</f>
        <v>$E$17</v>
      </c>
      <c r="L15" s="107"/>
      <c r="M15" s="85" t="s">
        <v>1257</v>
      </c>
      <c r="N15" s="85" t="s">
        <v>1258</v>
      </c>
      <c r="O15" s="85" t="b">
        <v>1</v>
      </c>
      <c r="P15" s="106" t="s">
        <v>1259</v>
      </c>
      <c r="Q15" s="106" t="s">
        <v>1260</v>
      </c>
      <c r="R15" s="109" t="str">
        <f>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5" s="85"/>
      <c r="T15" s="107" t="str">
        <f>IF(LEN(Table_ErrorList[[#This Row],[Message Bar Display]])&gt;$U$5,"Too Long, Characters = "&amp;LEN(Table_ErrorList[[#This Row],[Message Bar Display]])," ")</f>
        <v xml:space="preserve"> </v>
      </c>
      <c r="U15" s="107" t="str">
        <f>IF(LEN(Table_ErrorList[[#This Row],[Details Explanation (Line '#1)]])&gt;$U$5,"Too Long, Characters = "&amp;LEN(Table_ErrorList[[#This Row],[Details Explanation (Line '#1)]])," ")</f>
        <v xml:space="preserve"> </v>
      </c>
      <c r="V15" s="107" t="str">
        <f>IF(LEN(Table_ErrorList[[#This Row],[Details Explanation (Line '#2)]])&gt;$U$5,"Too Long, Characters = "&amp;LEN(Table_ErrorList[[#This Row],[Details Explanation (Line '#2)]])," ")</f>
        <v xml:space="preserve"> </v>
      </c>
    </row>
    <row r="16" spans="1:27" s="32" customFormat="1" x14ac:dyDescent="0.25">
      <c r="A16" s="85" t="b">
        <f ca="1">OR(ISBLANK(Table_ErrorList[[#This Row],[Relevant Cell Value]]),Table_ErrorList[[#This Row],[Relevant Cell Value]]=Dropdown_NotSelectedValue,Table_ErrorList[[#This Row],[Relevant Cell Value]]=0)</f>
        <v>1</v>
      </c>
      <c r="B16" s="107" t="str">
        <f ca="1">IFERROR(INDIRECT(Table_ErrorList[[#This Row],[Attention To Named Range]]),"Error")</f>
        <v>Select</v>
      </c>
      <c r="C16" s="102">
        <v>70</v>
      </c>
      <c r="D16" s="102" t="str">
        <f ca="1">IF(Table_ErrorList[[#This Row],[Manual Hierarchy]]="",CONCATENATE(TEXT(Table_ErrorList[[#This Row],[Section '#]],"00"),"-",TEXT(COUNTIF($E16:OFFSET(Table_ErrorList[[#Headers],[Section '#]],1,0,1,1),Table_ErrorList[[#This Row],[Section '#]]),"000")),Table_ErrorList[[#This Row],[Manual Hierarchy]])</f>
        <v>01-009</v>
      </c>
      <c r="E16" s="104">
        <v>1</v>
      </c>
      <c r="F16" s="104" t="str">
        <f>IFERROR(VLOOKUP(Table_ErrorList[[#This Row],[Section '#]],Table_SectionNames[],MATCH(Table_SectionNames[[#Headers],[Name]],Table_SectionNames[#Headers],0),FALSE),"Not found")</f>
        <v>Payee Details</v>
      </c>
      <c r="G16" s="104"/>
      <c r="H16" s="85" t="str">
        <f>IFERROR(VLOOKUP(Table_ErrorList[[#This Row],[Attention To Named Range]],Table_NamedRanges[],MATCH(Table_NamedRanges[[#Headers],[Reference Type]],Table_NamedRanges[#Headers],0),FALSE),"Error")</f>
        <v>Single Cell</v>
      </c>
      <c r="I16" s="85" t="s">
        <v>463</v>
      </c>
      <c r="J16" s="107" t="str">
        <f>IF(Table_ErrorList[[#This Row],[Manual Reference]]="",Table_ErrorList[[#This Row],[''Attention To'' Refence]],Table_ErrorList[[#This Row],[Manual Reference]])&amp;","</f>
        <v>$C$18,</v>
      </c>
      <c r="K16" s="107" t="str">
        <f>SUBSTITUTE(SUBSTITUTE(VLOOKUP(Table_ErrorList[[#This Row],[Attention To Named Range]],Table_NamedRanges[],MATCH(Table_NamedRanges[[#Headers],[Reference Text]],Table_NamedRanges[#Headers],0),FALSE),"=",""),"'Travel Expense Summary'!","")</f>
        <v>$C$18</v>
      </c>
      <c r="L16" s="107"/>
      <c r="M16" s="85" t="s">
        <v>472</v>
      </c>
      <c r="N16" s="85" t="s">
        <v>1192</v>
      </c>
      <c r="O16" s="85" t="b">
        <v>1</v>
      </c>
      <c r="P16" s="106" t="s">
        <v>158</v>
      </c>
      <c r="Q16" s="106"/>
      <c r="R16" s="106" t="str">
        <f>CONCATENATE(Table_ErrorList[[#This Row],[Details Explanation (Line '#1)]],IF(Table_ErrorList[[#This Row],[Details Explanation (Line '#2)]]&lt;&gt;"",CHAR(10)&amp;Table_ErrorList[[#This Row],[Details Explanation (Line '#2)]],""))</f>
        <v>Select an 'Address Type' from the in-cell dropdown list.</v>
      </c>
      <c r="S16" s="85" t="b">
        <v>1</v>
      </c>
      <c r="T16" s="85" t="str">
        <f>IF(LEN(Table_ErrorList[[#This Row],[Message Bar Display]])&gt;$U$5,"Too Long, Characters = "&amp;LEN(Table_ErrorList[[#This Row],[Message Bar Display]])," ")</f>
        <v xml:space="preserve"> </v>
      </c>
      <c r="U16" s="85" t="str">
        <f>IF(LEN(Table_ErrorList[[#This Row],[Details Explanation (Line '#1)]])&gt;$U$5,"Too Long, Characters = "&amp;LEN(Table_ErrorList[[#This Row],[Details Explanation (Line '#1)]])," ")</f>
        <v xml:space="preserve"> </v>
      </c>
      <c r="V16" s="85" t="str">
        <f>IF(LEN(Table_ErrorList[[#This Row],[Details Explanation (Line '#2)]])&gt;$U$5,"Too Long, Characters = "&amp;LEN(Table_ErrorList[[#This Row],[Details Explanation (Line '#2)]])," ")</f>
        <v xml:space="preserve"> </v>
      </c>
    </row>
    <row r="17" spans="1:22" s="32" customFormat="1" ht="45" x14ac:dyDescent="0.25">
      <c r="A17" s="107" t="b">
        <f ca="1">OR(ISBLANK(Table_ErrorList[[#This Row],[Relevant Cell Value]]),Table_ErrorList[[#This Row],[Relevant Cell Value]]=Dropdown_NotSelectedValue,Table_ErrorList[[#This Row],[Relevant Cell Value]]=0)</f>
        <v>1</v>
      </c>
      <c r="B17" s="107">
        <f ca="1">IFERROR(INDIRECT(Table_ErrorList[[#This Row],[Attention To Named Range]]),"Error")</f>
        <v>0</v>
      </c>
      <c r="C17" s="102">
        <v>71</v>
      </c>
      <c r="D17" s="102" t="str">
        <f ca="1">IF(Table_ErrorList[[#This Row],[Manual Hierarchy]]="",CONCATENATE(TEXT(Table_ErrorList[[#This Row],[Section '#]],"00"),"-",TEXT(COUNTIF($E17:OFFSET(Table_ErrorList[[#Headers],[Section '#]],1,0,1,1),Table_ErrorList[[#This Row],[Section '#]]),"000")),Table_ErrorList[[#This Row],[Manual Hierarchy]])</f>
        <v>01-010</v>
      </c>
      <c r="E17" s="104">
        <v>1</v>
      </c>
      <c r="F17" s="104" t="str">
        <f>IFERROR(VLOOKUP(Table_ErrorList[[#This Row],[Section '#]],Table_SectionNames[],MATCH(Table_SectionNames[[#Headers],[Name]],Table_SectionNames[#Headers],0),FALSE),"Not found")</f>
        <v>Payee Details</v>
      </c>
      <c r="G17" s="104"/>
      <c r="H17" s="107" t="str">
        <f>IFERROR(VLOOKUP(Table_ErrorList[[#This Row],[Attention To Named Range]],Table_NamedRanges[],MATCH(Table_NamedRanges[[#Headers],[Reference Type]],Table_NamedRanges[#Headers],0),FALSE),"Error")</f>
        <v>Single Cell</v>
      </c>
      <c r="I17" s="102" t="s">
        <v>464</v>
      </c>
      <c r="J17" s="107" t="str">
        <f>IF(Table_ErrorList[[#This Row],[Manual Reference]]="",Table_ErrorList[[#This Row],[''Attention To'' Refence]],Table_ErrorList[[#This Row],[Manual Reference]])&amp;","</f>
        <v>$C$19,</v>
      </c>
      <c r="K17" s="107" t="str">
        <f>SUBSTITUTE(SUBSTITUTE(VLOOKUP(Table_ErrorList[[#This Row],[Attention To Named Range]],Table_NamedRanges[],MATCH(Table_NamedRanges[[#Headers],[Reference Text]],Table_NamedRanges[#Headers],0),FALSE),"=",""),"'Travel Expense Summary'!","")</f>
        <v>$C$19</v>
      </c>
      <c r="L17" s="107"/>
      <c r="M17" s="85" t="s">
        <v>473</v>
      </c>
      <c r="N17" s="85" t="s">
        <v>1191</v>
      </c>
      <c r="O17" s="85" t="b">
        <v>1</v>
      </c>
      <c r="P17" s="106" t="s">
        <v>1007</v>
      </c>
      <c r="Q17" s="106" t="s">
        <v>1008</v>
      </c>
      <c r="R17" s="109" t="str">
        <f>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
If you do not have an email address, enter the email address of your NOSM contact.</v>
      </c>
      <c r="S17" s="85" t="b">
        <v>1</v>
      </c>
      <c r="T17" s="85" t="str">
        <f>IF(LEN(Table_ErrorList[[#This Row],[Message Bar Display]])&gt;$U$5,"Too Long, Characters = "&amp;LEN(Table_ErrorList[[#This Row],[Message Bar Display]])," ")</f>
        <v xml:space="preserve"> </v>
      </c>
      <c r="U17" s="85" t="str">
        <f>IF(LEN(Table_ErrorList[[#This Row],[Details Explanation (Line '#1)]])&gt;$U$5,"Too Long, Characters = "&amp;LEN(Table_ErrorList[[#This Row],[Details Explanation (Line '#1)]])," ")</f>
        <v xml:space="preserve"> </v>
      </c>
      <c r="V17" s="85" t="str">
        <f>IF(LEN(Table_ErrorList[[#This Row],[Details Explanation (Line '#2)]])&gt;$U$5,"Too Long, Characters = "&amp;LEN(Table_ErrorList[[#This Row],[Details Explanation (Line '#2)]])," ")</f>
        <v xml:space="preserve"> </v>
      </c>
    </row>
    <row r="18" spans="1:22" s="32" customFormat="1" ht="33.75" x14ac:dyDescent="0.25">
      <c r="A18" s="107" t="b">
        <f>FALSE</f>
        <v>0</v>
      </c>
      <c r="B18" s="107">
        <f ca="1">IFERROR(INDIRECT(Table_ErrorList[[#This Row],[Attention To Named Range]]),"Error")</f>
        <v>0</v>
      </c>
      <c r="C18" s="102">
        <v>72</v>
      </c>
      <c r="D18" s="102" t="str">
        <f ca="1">IF(Table_ErrorList[[#This Row],[Manual Hierarchy]]="",CONCATENATE(TEXT(Table_ErrorList[[#This Row],[Section '#]],"00"),"-",TEXT(COUNTIF($E18:OFFSET(Table_ErrorList[[#Headers],[Section '#]],1,0,1,1),Table_ErrorList[[#This Row],[Section '#]]),"000")),Table_ErrorList[[#This Row],[Manual Hierarchy]])</f>
        <v>01-011</v>
      </c>
      <c r="E18" s="104">
        <v>1</v>
      </c>
      <c r="F18" s="104" t="str">
        <f>IFERROR(VLOOKUP(Table_ErrorList[[#This Row],[Section '#]],Table_SectionNames[],MATCH(Table_SectionNames[[#Headers],[Name]],Table_SectionNames[#Headers],0),FALSE),"Not found")</f>
        <v>Payee Details</v>
      </c>
      <c r="G18" s="104"/>
      <c r="H18" s="107" t="str">
        <f>IFERROR(VLOOKUP(Table_ErrorList[[#This Row],[Attention To Named Range]],Table_NamedRanges[],MATCH(Table_NamedRanges[[#Headers],[Reference Type]],Table_NamedRanges[#Headers],0),FALSE),"Error")</f>
        <v>Single Cell</v>
      </c>
      <c r="I18" s="102" t="s">
        <v>466</v>
      </c>
      <c r="J18" s="107" t="str">
        <f>IF(Table_ErrorList[[#This Row],[Manual Reference]]="",Table_ErrorList[[#This Row],[''Attention To'' Refence]],Table_ErrorList[[#This Row],[Manual Reference]])&amp;","</f>
        <v>$C$20,</v>
      </c>
      <c r="K18" s="107" t="str">
        <f>SUBSTITUTE(SUBSTITUTE(VLOOKUP(Table_ErrorList[[#This Row],[Attention To Named Range]],Table_NamedRanges[],MATCH(Table_NamedRanges[[#Headers],[Reference Text]],Table_NamedRanges[#Headers],0),FALSE),"=",""),"'Travel Expense Summary'!","")</f>
        <v>$C$20</v>
      </c>
      <c r="L18" s="107"/>
      <c r="M18" s="85" t="s">
        <v>474</v>
      </c>
      <c r="N18" s="85" t="s">
        <v>1190</v>
      </c>
      <c r="O18" s="85" t="b">
        <v>1</v>
      </c>
      <c r="P18" s="106" t="s">
        <v>476</v>
      </c>
      <c r="Q18" s="106" t="s">
        <v>921</v>
      </c>
      <c r="R18" s="109" t="str">
        <f>CONCATENATE(Table_ErrorList[[#This Row],[Details Explanation (Line '#1)]],IF(Table_ErrorList[[#This Row],[Details Explanation (Line '#2)]]&lt;&gt;"",CHAR(10)&amp;Table_ErrorList[[#This Row],[Details Explanation (Line '#2)]],""))</f>
        <v>Enter your birthdate in any format recognizable by Excel.
For example, it could be entered in full (ie. January 1, 2000) or it can be entered as DD/MM/YY or YYYY/MM/DD.</v>
      </c>
      <c r="S18" s="85" t="b">
        <v>1</v>
      </c>
      <c r="T18" s="85" t="str">
        <f>IF(LEN(Table_ErrorList[[#This Row],[Message Bar Display]])&gt;$U$5,"Too Long, Characters = "&amp;LEN(Table_ErrorList[[#This Row],[Message Bar Display]])," ")</f>
        <v xml:space="preserve"> </v>
      </c>
      <c r="U18" s="85" t="str">
        <f>IF(LEN(Table_ErrorList[[#This Row],[Details Explanation (Line '#1)]])&gt;$U$5,"Too Long, Characters = "&amp;LEN(Table_ErrorList[[#This Row],[Details Explanation (Line '#1)]])," ")</f>
        <v xml:space="preserve"> </v>
      </c>
      <c r="V18" s="85" t="str">
        <f>IF(LEN(Table_ErrorList[[#This Row],[Details Explanation (Line '#2)]])&gt;$U$5,"Too Long, Characters = "&amp;LEN(Table_ErrorList[[#This Row],[Details Explanation (Line '#2)]])," ")</f>
        <v xml:space="preserve"> </v>
      </c>
    </row>
    <row r="19" spans="1:22" ht="45" x14ac:dyDescent="0.25">
      <c r="A19" s="107" t="b">
        <f ca="1">OR(ISBLANK(Table_ErrorList[[#This Row],[Relevant Cell Value]]),Table_ErrorList[[#This Row],[Relevant Cell Value]]=Dropdown_NotSelectedValue,Table_ErrorList[[#This Row],[Relevant Cell Value]]=0)</f>
        <v>1</v>
      </c>
      <c r="B19" s="107">
        <f ca="1">IFERROR(INDIRECT(Table_ErrorList[[#This Row],[Attention To Named Range]]),"Error")</f>
        <v>0</v>
      </c>
      <c r="C19" s="102">
        <v>73</v>
      </c>
      <c r="D19" s="102" t="str">
        <f ca="1">IF(Table_ErrorList[[#This Row],[Manual Hierarchy]]="",CONCATENATE(TEXT(Table_ErrorList[[#This Row],[Section '#]],"00"),"-",TEXT(COUNTIF($E19:OFFSET(Table_ErrorList[[#Headers],[Section '#]],1,0,1,1),Table_ErrorList[[#This Row],[Section '#]]),"000")),Table_ErrorList[[#This Row],[Manual Hierarchy]])</f>
        <v>01-012</v>
      </c>
      <c r="E19" s="104">
        <v>1</v>
      </c>
      <c r="F19" s="104" t="str">
        <f>IFERROR(VLOOKUP(Table_ErrorList[[#This Row],[Section '#]],Table_SectionNames[],MATCH(Table_SectionNames[[#Headers],[Name]],Table_SectionNames[#Headers],0),FALSE),"Not found")</f>
        <v>Payee Details</v>
      </c>
      <c r="G19" s="104"/>
      <c r="H19" s="107" t="str">
        <f>IFERROR(VLOOKUP(Table_ErrorList[[#This Row],[Attention To Named Range]],Table_NamedRanges[],MATCH(Table_NamedRanges[[#Headers],[Reference Type]],Table_NamedRanges[#Headers],0),FALSE),"Error")</f>
        <v>Single Cell</v>
      </c>
      <c r="I19" s="102" t="s">
        <v>468</v>
      </c>
      <c r="J19" s="107" t="str">
        <f>IF(Table_ErrorList[[#This Row],[Manual Reference]]="",Table_ErrorList[[#This Row],[''Attention To'' Refence]],Table_ErrorList[[#This Row],[Manual Reference]])&amp;","</f>
        <v>$E$20,</v>
      </c>
      <c r="K19" s="107" t="str">
        <f>SUBSTITUTE(SUBSTITUTE(VLOOKUP(Table_ErrorList[[#This Row],[Attention To Named Range]],Table_NamedRanges[],MATCH(Table_NamedRanges[[#Headers],[Reference Text]],Table_NamedRanges[#Headers],0),FALSE),"=",""),"'Travel Expense Summary'!","")</f>
        <v>$E$20</v>
      </c>
      <c r="L19" s="107"/>
      <c r="M19" s="85" t="s">
        <v>475</v>
      </c>
      <c r="N19" s="85" t="s">
        <v>1189</v>
      </c>
      <c r="O19" s="85" t="b">
        <v>1</v>
      </c>
      <c r="P19" s="106" t="s">
        <v>1093</v>
      </c>
      <c r="Q19" s="106" t="s">
        <v>1094</v>
      </c>
      <c r="R19" s="109" t="str">
        <f>CONCATENATE(Table_ErrorList[[#This Row],[Details Explanation (Line '#1)]],IF(Table_ErrorList[[#This Row],[Details Explanation (Line '#2)]]&lt;&gt;"",CHAR(10)&amp;Table_ErrorList[[#This Row],[Details Explanation (Line '#2)]],""))</f>
        <v>Enter a 10 digit phone number. This is a 3 digit area code and a 7 digit phone number. 
Enter the number only without any spaces or special characters (ie. 1234567890). The field will format automatically to '(123) 456-7890'.</v>
      </c>
      <c r="S19" s="85" t="b">
        <v>1</v>
      </c>
      <c r="T19" s="85" t="str">
        <f>IF(LEN(Table_ErrorList[[#This Row],[Message Bar Display]])&gt;$U$5,"Too Long, Characters = "&amp;LEN(Table_ErrorList[[#This Row],[Message Bar Display]])," ")</f>
        <v xml:space="preserve"> </v>
      </c>
      <c r="U19" s="85" t="str">
        <f>IF(LEN(Table_ErrorList[[#This Row],[Details Explanation (Line '#1)]])&gt;$U$5,"Too Long, Characters = "&amp;LEN(Table_ErrorList[[#This Row],[Details Explanation (Line '#1)]])," ")</f>
        <v xml:space="preserve"> </v>
      </c>
      <c r="V19" s="85" t="str">
        <f>IF(LEN(Table_ErrorList[[#This Row],[Details Explanation (Line '#2)]])&gt;$U$5,"Too Long, Characters = "&amp;LEN(Table_ErrorList[[#This Row],[Details Explanation (Line '#2)]])," ")</f>
        <v xml:space="preserve"> </v>
      </c>
    </row>
    <row r="20" spans="1:22" x14ac:dyDescent="0.25">
      <c r="A20" s="85" t="b">
        <f ca="1">OR(ISBLANK(Table_ErrorList[[#This Row],[Relevant Cell Value]]),Table_ErrorList[[#This Row],[Relevant Cell Value]]=Dropdown_NotSelectedValue,Table_ErrorList[[#This Row],[Relevant Cell Value]]=0)</f>
        <v>1</v>
      </c>
      <c r="B20" s="107" t="str">
        <f ca="1">IFERROR(INDIRECT(Table_ErrorList[[#This Row],[Attention To Named Range]]),"Error")</f>
        <v>Select</v>
      </c>
      <c r="C20" s="102">
        <v>80</v>
      </c>
      <c r="D20" s="102" t="str">
        <f ca="1">IF(Table_ErrorList[[#This Row],[Manual Hierarchy]]="",CONCATENATE(TEXT(Table_ErrorList[[#This Row],[Section '#]],"00"),"-",TEXT(COUNTIF($E20:OFFSET(Table_ErrorList[[#Headers],[Section '#]],1,0,1,1),Table_ErrorList[[#This Row],[Section '#]]),"000")),Table_ErrorList[[#This Row],[Manual Hierarchy]])</f>
        <v>01-013</v>
      </c>
      <c r="E20" s="104">
        <v>1</v>
      </c>
      <c r="F20" s="104" t="str">
        <f>IFERROR(VLOOKUP(Table_ErrorList[[#This Row],[Section '#]],Table_SectionNames[],MATCH(Table_SectionNames[[#Headers],[Name]],Table_SectionNames[#Headers],0),FALSE),"Not found")</f>
        <v>Payee Details</v>
      </c>
      <c r="G20" s="104"/>
      <c r="H20" s="85" t="str">
        <f>IFERROR(VLOOKUP(Table_ErrorList[[#This Row],[Attention To Named Range]],Table_NamedRanges[],MATCH(Table_NamedRanges[[#Headers],[Reference Type]],Table_NamedRanges[#Headers],0),FALSE),"Error")</f>
        <v>Single Cell</v>
      </c>
      <c r="I20" s="85" t="s">
        <v>470</v>
      </c>
      <c r="J20" s="107" t="str">
        <f>IF(Table_ErrorList[[#This Row],[Manual Reference]]="",Table_ErrorList[[#This Row],[''Attention To'' Refence]],Table_ErrorList[[#This Row],[Manual Reference]])&amp;","</f>
        <v>$C$21,</v>
      </c>
      <c r="K20" s="107" t="str">
        <f>SUBSTITUTE(SUBSTITUTE(VLOOKUP(Table_ErrorList[[#This Row],[Attention To Named Range]],Table_NamedRanges[],MATCH(Table_NamedRanges[[#Headers],[Reference Text]],Table_NamedRanges[#Headers],0),FALSE),"=",""),"'Travel Expense Summary'!","")</f>
        <v>$C$21</v>
      </c>
      <c r="L20" s="107"/>
      <c r="M20" s="85" t="s">
        <v>880</v>
      </c>
      <c r="N20" s="85" t="s">
        <v>881</v>
      </c>
      <c r="O20" s="85" t="b">
        <v>1</v>
      </c>
      <c r="P20" s="106" t="s">
        <v>882</v>
      </c>
      <c r="Q20" s="106"/>
      <c r="R20" s="106" t="str">
        <f>CONCATENATE(Table_ErrorList[[#This Row],[Details Explanation (Line '#1)]],IF(Table_ErrorList[[#This Row],[Details Explanation (Line '#2)]]&lt;&gt;"",CHAR(10)&amp;Table_ErrorList[[#This Row],[Details Explanation (Line '#2)]],""))</f>
        <v>Select a 'Submitting Portfolio' from the in-cell dropdown list.</v>
      </c>
      <c r="S20" s="85" t="b">
        <v>1</v>
      </c>
      <c r="T20" s="85" t="str">
        <f>IF(LEN(Table_ErrorList[[#This Row],[Message Bar Display]])&gt;$U$5,"Too Long, Characters = "&amp;LEN(Table_ErrorList[[#This Row],[Message Bar Display]])," ")</f>
        <v xml:space="preserve"> </v>
      </c>
      <c r="U20" s="85" t="str">
        <f>IF(LEN(Table_ErrorList[[#This Row],[Details Explanation (Line '#1)]])&gt;$U$5,"Too Long, Characters = "&amp;LEN(Table_ErrorList[[#This Row],[Details Explanation (Line '#1)]])," ")</f>
        <v xml:space="preserve"> </v>
      </c>
      <c r="V20" s="85" t="str">
        <f>IF(LEN(Table_ErrorList[[#This Row],[Details Explanation (Line '#2)]])&gt;$U$5,"Too Long, Characters = "&amp;LEN(Table_ErrorList[[#This Row],[Details Explanation (Line '#2)]])," ")</f>
        <v xml:space="preserve"> </v>
      </c>
    </row>
    <row r="21" spans="1:22" x14ac:dyDescent="0.25">
      <c r="A21" s="85" t="b">
        <f ca="1">OR(ISBLANK(Table_ErrorList[[#This Row],[Relevant Cell Value]]),Table_ErrorList[[#This Row],[Relevant Cell Value]]=Dropdown_NotSelectedValue,Table_ErrorList[[#This Row],[Relevant Cell Value]]=0)</f>
        <v>1</v>
      </c>
      <c r="B21" s="107" t="str">
        <f ca="1">IFERROR(INDIRECT(Table_ErrorList[[#This Row],[Attention To Named Range]]),"Error")</f>
        <v>Select</v>
      </c>
      <c r="C21" s="102">
        <v>90</v>
      </c>
      <c r="D21" s="102" t="str">
        <f ca="1">IF(Table_ErrorList[[#This Row],[Manual Hierarchy]]="",CONCATENATE(TEXT(Table_ErrorList[[#This Row],[Section '#]],"00"),"-",TEXT(COUNTIF($E21:OFFSET(Table_ErrorList[[#Headers],[Section '#]],1,0,1,1),Table_ErrorList[[#This Row],[Section '#]]),"000")),Table_ErrorList[[#This Row],[Manual Hierarchy]])</f>
        <v>01-014</v>
      </c>
      <c r="E21" s="104">
        <v>1</v>
      </c>
      <c r="F21" s="104" t="str">
        <f>IFERROR(VLOOKUP(Table_ErrorList[[#This Row],[Section '#]],Table_SectionNames[],MATCH(Table_SectionNames[[#Headers],[Name]],Table_SectionNames[#Headers],0),FALSE),"Not found")</f>
        <v>Payee Details</v>
      </c>
      <c r="G21" s="104"/>
      <c r="H21" s="85" t="str">
        <f>IFERROR(VLOOKUP(Table_ErrorList[[#This Row],[Attention To Named Range]],Table_NamedRanges[],MATCH(Table_NamedRanges[[#Headers],[Reference Type]],Table_NamedRanges[#Headers],0),FALSE),"Error")</f>
        <v>Single Cell</v>
      </c>
      <c r="I21" s="85" t="s">
        <v>471</v>
      </c>
      <c r="J21" s="107" t="str">
        <f>IF(Table_ErrorList[[#This Row],[Manual Reference]]="",Table_ErrorList[[#This Row],[''Attention To'' Refence]],Table_ErrorList[[#This Row],[Manual Reference]])&amp;","</f>
        <v>$C$22,</v>
      </c>
      <c r="K21" s="107" t="str">
        <f>SUBSTITUTE(SUBSTITUTE(VLOOKUP(Table_ErrorList[[#This Row],[Attention To Named Range]],Table_NamedRanges[],MATCH(Table_NamedRanges[[#Headers],[Reference Text]],Table_NamedRanges[#Headers],0),FALSE),"=",""),"'Travel Expense Summary'!","")</f>
        <v>$C$22</v>
      </c>
      <c r="L21" s="107"/>
      <c r="M21" s="85" t="s">
        <v>154</v>
      </c>
      <c r="N21" s="85" t="s">
        <v>1188</v>
      </c>
      <c r="O21" s="85" t="b">
        <v>1</v>
      </c>
      <c r="P21" s="106" t="s">
        <v>155</v>
      </c>
      <c r="Q21" s="106"/>
      <c r="R21" s="106" t="str">
        <f>CONCATENATE(Table_ErrorList[[#This Row],[Details Explanation (Line '#1)]],IF(Table_ErrorList[[#This Row],[Details Explanation (Line '#2)]]&lt;&gt;"",CHAR(10)&amp;Table_ErrorList[[#This Row],[Details Explanation (Line '#2)]],""))</f>
        <v>Select a 'Payee Type' from the in-cell dropdown list.</v>
      </c>
      <c r="S21" s="85" t="b">
        <v>1</v>
      </c>
      <c r="T21" s="85" t="str">
        <f>IF(LEN(Table_ErrorList[[#This Row],[Message Bar Display]])&gt;$U$5,"Too Long, Characters = "&amp;LEN(Table_ErrorList[[#This Row],[Message Bar Display]])," ")</f>
        <v xml:space="preserve"> </v>
      </c>
      <c r="U21" s="85" t="str">
        <f>IF(LEN(Table_ErrorList[[#This Row],[Details Explanation (Line '#1)]])&gt;$U$5,"Too Long, Characters = "&amp;LEN(Table_ErrorList[[#This Row],[Details Explanation (Line '#1)]])," ")</f>
        <v xml:space="preserve"> </v>
      </c>
      <c r="V21" s="85" t="str">
        <f>IF(LEN(Table_ErrorList[[#This Row],[Details Explanation (Line '#2)]])&gt;$U$5,"Too Long, Characters = "&amp;LEN(Table_ErrorList[[#This Row],[Details Explanation (Line '#2)]])," ")</f>
        <v xml:space="preserve"> </v>
      </c>
    </row>
    <row r="22" spans="1:22" s="32" customFormat="1" ht="22.5" x14ac:dyDescent="0.25">
      <c r="A22" s="85" t="b">
        <f>IF(AND(ISBLANK(Field09_PayeeType)=FALSE,Field09_PayeeType&lt;&gt;Dropdown_NotSelectedValue),IFERROR(NOT(MATCH(Field09_PayeeType,Table_PayeeType[Payee Type],0)&gt;0),TRUE),FALSE)</f>
        <v>0</v>
      </c>
      <c r="B22" s="107" t="str">
        <f ca="1">IFERROR(INDIRECT(Table_ErrorList[[#This Row],[Attention To Named Range]]),"Error")</f>
        <v>Select</v>
      </c>
      <c r="C22" s="102">
        <v>91</v>
      </c>
      <c r="D22" s="102" t="str">
        <f ca="1">IF(Table_ErrorList[[#This Row],[Manual Hierarchy]]="",CONCATENATE(TEXT(Table_ErrorList[[#This Row],[Section '#]],"00"),"-",TEXT(COUNTIF($E22:OFFSET(Table_ErrorList[[#Headers],[Section '#]],1,0,1,1),Table_ErrorList[[#This Row],[Section '#]]),"000")),Table_ErrorList[[#This Row],[Manual Hierarchy]])</f>
        <v>01-015</v>
      </c>
      <c r="E22" s="104">
        <v>1</v>
      </c>
      <c r="F22" s="104" t="str">
        <f>IFERROR(VLOOKUP(Table_ErrorList[[#This Row],[Section '#]],Table_SectionNames[],MATCH(Table_SectionNames[[#Headers],[Name]],Table_SectionNames[#Headers],0),FALSE),"Not found")</f>
        <v>Payee Details</v>
      </c>
      <c r="G22" s="104"/>
      <c r="H22" s="107" t="str">
        <f>IFERROR(VLOOKUP(Table_ErrorList[[#This Row],[Attention To Named Range]],Table_NamedRanges[],MATCH(Table_NamedRanges[[#Headers],[Reference Type]],Table_NamedRanges[#Headers],0),FALSE),"Error")</f>
        <v>Single Cell</v>
      </c>
      <c r="I22" s="102" t="s">
        <v>471</v>
      </c>
      <c r="J22" s="107" t="str">
        <f>IF(Table_ErrorList[[#This Row],[Manual Reference]]="",Table_ErrorList[[#This Row],[''Attention To'' Refence]],Table_ErrorList[[#This Row],[Manual Reference]])&amp;","</f>
        <v>$C$22,</v>
      </c>
      <c r="K22" s="107" t="str">
        <f>SUBSTITUTE(SUBSTITUTE(VLOOKUP(Table_ErrorList[[#This Row],[Attention To Named Range]],Table_NamedRanges[],MATCH(Table_NamedRanges[[#Headers],[Reference Text]],Table_NamedRanges[#Headers],0),FALSE),"=",""),"'Travel Expense Summary'!","")</f>
        <v>$C$22</v>
      </c>
      <c r="L22" s="107"/>
      <c r="M22" s="85" t="s">
        <v>1230</v>
      </c>
      <c r="N22" s="85" t="s">
        <v>1231</v>
      </c>
      <c r="O22" s="85" t="b">
        <v>1</v>
      </c>
      <c r="P22" s="106" t="s">
        <v>155</v>
      </c>
      <c r="Q22" s="106" t="s">
        <v>1232</v>
      </c>
      <c r="R22" s="109" t="str">
        <f>CONCATENATE(Table_ErrorList[[#This Row],[Details Explanation (Line '#1)]],IF(Table_ErrorList[[#This Row],[Details Explanation (Line '#2)]]&lt;&gt;"",CHAR(10)&amp;Table_ErrorList[[#This Row],[Details Explanation (Line '#2)]],""))</f>
        <v xml:space="preserve">Select a 'Payee Type' from the in-cell dropdown list.
The current value is not an item from this list. </v>
      </c>
      <c r="S22" s="85" t="b">
        <v>1</v>
      </c>
      <c r="T22" s="107" t="str">
        <f>IF(LEN(Table_ErrorList[[#This Row],[Message Bar Display]])&gt;$U$5,"Too Long, Characters = "&amp;LEN(Table_ErrorList[[#This Row],[Message Bar Display]])," ")</f>
        <v xml:space="preserve"> </v>
      </c>
      <c r="U22" s="107" t="str">
        <f>IF(LEN(Table_ErrorList[[#This Row],[Details Explanation (Line '#1)]])&gt;$U$5,"Too Long, Characters = "&amp;LEN(Table_ErrorList[[#This Row],[Details Explanation (Line '#1)]])," ")</f>
        <v xml:space="preserve"> </v>
      </c>
      <c r="V22" s="107" t="str">
        <f>IF(LEN(Table_ErrorList[[#This Row],[Details Explanation (Line '#2)]])&gt;$U$5,"Too Long, Characters = "&amp;LEN(Table_ErrorList[[#This Row],[Details Explanation (Line '#2)]])," ")</f>
        <v xml:space="preserve"> </v>
      </c>
    </row>
    <row r="23" spans="1:22" x14ac:dyDescent="0.25">
      <c r="A23" s="85" t="b">
        <f ca="1">OR(ISBLANK(Table_ErrorList[[#This Row],[Relevant Cell Value]]),Table_ErrorList[[#This Row],[Relevant Cell Value]]=Dropdown_NotSelectedValue,Table_ErrorList[[#This Row],[Relevant Cell Value]]=0)</f>
        <v>1</v>
      </c>
      <c r="B23" s="107" t="str">
        <f ca="1">IFERROR(INDIRECT(Table_ErrorList[[#This Row],[Attention To Named Range]]),"Error")</f>
        <v>Select</v>
      </c>
      <c r="C23" s="102">
        <v>100</v>
      </c>
      <c r="D23" s="102" t="str">
        <f ca="1">IF(Table_ErrorList[[#This Row],[Manual Hierarchy]]="",CONCATENATE(TEXT(Table_ErrorList[[#This Row],[Section '#]],"00"),"-",TEXT(COUNTIF($E23:OFFSET(Table_ErrorList[[#Headers],[Section '#]],1,0,1,1),Table_ErrorList[[#This Row],[Section '#]]),"000")),Table_ErrorList[[#This Row],[Manual Hierarchy]])</f>
        <v>01-016</v>
      </c>
      <c r="E23" s="104">
        <v>1</v>
      </c>
      <c r="F23" s="104" t="str">
        <f>IFERROR(VLOOKUP(Table_ErrorList[[#This Row],[Section '#]],Table_SectionNames[],MATCH(Table_SectionNames[[#Headers],[Name]],Table_SectionNames[#Headers],0),FALSE),"Not found")</f>
        <v>Payee Details</v>
      </c>
      <c r="G23" s="104"/>
      <c r="H23" s="85" t="str">
        <f>IFERROR(VLOOKUP(Table_ErrorList[[#This Row],[Attention To Named Range]],Table_NamedRanges[],MATCH(Table_NamedRanges[[#Headers],[Reference Type]],Table_NamedRanges[#Headers],0),FALSE),"Error")</f>
        <v>Single Cell</v>
      </c>
      <c r="I23" s="85" t="s">
        <v>130</v>
      </c>
      <c r="J23" s="107" t="str">
        <f>IF(Table_ErrorList[[#This Row],[Manual Reference]]="",Table_ErrorList[[#This Row],[''Attention To'' Refence]],Table_ErrorList[[#This Row],[Manual Reference]])&amp;","</f>
        <v>$C$23,</v>
      </c>
      <c r="K23" s="107" t="str">
        <f>SUBSTITUTE(SUBSTITUTE(VLOOKUP(Table_ErrorList[[#This Row],[Attention To Named Range]],Table_NamedRanges[],MATCH(Table_NamedRanges[[#Headers],[Reference Text]],Table_NamedRanges[#Headers],0),FALSE),"=",""),"'Travel Expense Summary'!","")</f>
        <v>$C$23</v>
      </c>
      <c r="L23" s="107"/>
      <c r="M23" s="85" t="s">
        <v>159</v>
      </c>
      <c r="N23" s="85" t="s">
        <v>1187</v>
      </c>
      <c r="O23" s="85" t="b">
        <v>1</v>
      </c>
      <c r="P23" s="106" t="s">
        <v>160</v>
      </c>
      <c r="Q23" s="106"/>
      <c r="R23" s="106" t="str">
        <f>CONCATENATE(Table_ErrorList[[#This Row],[Details Explanation (Line '#1)]],IF(Table_ErrorList[[#This Row],[Details Explanation (Line '#2)]]&lt;&gt;"",CHAR(10)&amp;Table_ErrorList[[#This Row],[Details Explanation (Line '#2)]],""))</f>
        <v>Select a 'Payment Option' from the in-cell dropdown list.</v>
      </c>
      <c r="S23" s="85" t="b">
        <v>1</v>
      </c>
      <c r="T23" s="85" t="str">
        <f>IF(LEN(Table_ErrorList[[#This Row],[Message Bar Display]])&gt;$U$5,"Too Long, Characters = "&amp;LEN(Table_ErrorList[[#This Row],[Message Bar Display]])," ")</f>
        <v xml:space="preserve"> </v>
      </c>
      <c r="U23" s="85" t="str">
        <f>IF(LEN(Table_ErrorList[[#This Row],[Details Explanation (Line '#1)]])&gt;$U$5,"Too Long, Characters = "&amp;LEN(Table_ErrorList[[#This Row],[Details Explanation (Line '#1)]])," ")</f>
        <v xml:space="preserve"> </v>
      </c>
      <c r="V23" s="85" t="str">
        <f>IF(LEN(Table_ErrorList[[#This Row],[Details Explanation (Line '#2)]])&gt;$U$5,"Too Long, Characters = "&amp;LEN(Table_ErrorList[[#This Row],[Details Explanation (Line '#2)]])," ")</f>
        <v xml:space="preserve"> </v>
      </c>
    </row>
    <row r="24" spans="1:22" ht="22.5" x14ac:dyDescent="0.25">
      <c r="A24" s="85" t="b">
        <f ca="1">OR(ISBLANK(Table_ErrorList[[#This Row],[Relevant Cell Value]]),Table_ErrorList[[#This Row],[Relevant Cell Value]]=Dropdown_NotSelectedValue,Table_ErrorList[[#This Row],[Relevant Cell Value]]=0)</f>
        <v>1</v>
      </c>
      <c r="B24" s="107">
        <f ca="1">IFERROR(INDIRECT(Table_ErrorList[[#This Row],[Attention To Named Range]]),"Error")</f>
        <v>0</v>
      </c>
      <c r="C24" s="102">
        <v>110</v>
      </c>
      <c r="D24" s="102" t="str">
        <f ca="1">IF(Table_ErrorList[[#This Row],[Manual Hierarchy]]="",CONCATENATE(TEXT(Table_ErrorList[[#This Row],[Section '#]],"00"),"-",TEXT(COUNTIF($E24:OFFSET(Table_ErrorList[[#Headers],[Section '#]],1,0,1,1),Table_ErrorList[[#This Row],[Section '#]]),"000")),Table_ErrorList[[#This Row],[Manual Hierarchy]])</f>
        <v>02-001</v>
      </c>
      <c r="E24" s="104">
        <v>2</v>
      </c>
      <c r="F24" s="104" t="str">
        <f>IFERROR(VLOOKUP(Table_ErrorList[[#This Row],[Section '#]],Table_SectionNames[],MATCH(Table_SectionNames[[#Headers],[Name]],Table_SectionNames[#Headers],0),FALSE),"Not found")</f>
        <v>Travel Details</v>
      </c>
      <c r="G24" s="104"/>
      <c r="H24" s="85" t="str">
        <f>IFERROR(VLOOKUP(Table_ErrorList[[#This Row],[Attention To Named Range]],Table_NamedRanges[],MATCH(Table_NamedRanges[[#Headers],[Reference Type]],Table_NamedRanges[#Headers],0),FALSE),"Error")</f>
        <v>Single Cell</v>
      </c>
      <c r="I24" s="85" t="s">
        <v>140</v>
      </c>
      <c r="J24" s="107" t="str">
        <f>IF(Table_ErrorList[[#This Row],[Manual Reference]]="",Table_ErrorList[[#This Row],[''Attention To'' Refence]],Table_ErrorList[[#This Row],[Manual Reference]])&amp;","</f>
        <v>$C$27,</v>
      </c>
      <c r="K24" s="107" t="str">
        <f>SUBSTITUTE(SUBSTITUTE(VLOOKUP(Table_ErrorList[[#This Row],[Attention To Named Range]],Table_NamedRanges[],MATCH(Table_NamedRanges[[#Headers],[Reference Text]],Table_NamedRanges[#Headers],0),FALSE),"=",""),"'Travel Expense Summary'!","")</f>
        <v>$C$27</v>
      </c>
      <c r="L24" s="107"/>
      <c r="M24" s="85" t="s">
        <v>162</v>
      </c>
      <c r="N24" s="85" t="s">
        <v>1186</v>
      </c>
      <c r="O24" s="85" t="b">
        <v>1</v>
      </c>
      <c r="P24" s="106" t="s">
        <v>1096</v>
      </c>
      <c r="Q24" s="106" t="s">
        <v>123</v>
      </c>
      <c r="R24" s="106" t="str">
        <f>CONCATENATE(Table_ErrorList[[#This Row],[Details Explanation (Line '#1)]],IF(Table_ErrorList[[#This Row],[Details Explanation (Line '#2)]]&lt;&gt;"",CHAR(10)&amp;Table_ErrorList[[#This Row],[Details Explanation (Line '#2)]],""))</f>
        <v xml:space="preserve">This is the departure location for your travel.
This is a free text field with a 40 character limit. </v>
      </c>
      <c r="S24" s="85" t="b">
        <v>1</v>
      </c>
      <c r="T24" s="85" t="str">
        <f>IF(LEN(Table_ErrorList[[#This Row],[Message Bar Display]])&gt;$U$5,"Too Long, Characters = "&amp;LEN(Table_ErrorList[[#This Row],[Message Bar Display]])," ")</f>
        <v xml:space="preserve"> </v>
      </c>
      <c r="U24" s="85" t="str">
        <f>IF(LEN(Table_ErrorList[[#This Row],[Details Explanation (Line '#1)]])&gt;$U$5,"Too Long, Characters = "&amp;LEN(Table_ErrorList[[#This Row],[Details Explanation (Line '#1)]])," ")</f>
        <v xml:space="preserve"> </v>
      </c>
      <c r="V24" s="85" t="str">
        <f>IF(LEN(Table_ErrorList[[#This Row],[Details Explanation (Line '#2)]])&gt;$U$5,"Too Long, Characters = "&amp;LEN(Table_ErrorList[[#This Row],[Details Explanation (Line '#2)]])," ")</f>
        <v xml:space="preserve"> </v>
      </c>
    </row>
    <row r="25" spans="1:22" ht="22.5" x14ac:dyDescent="0.25">
      <c r="A25" s="85" t="b">
        <f ca="1">OR(ISBLANK(Table_ErrorList[[#This Row],[Relevant Cell Value]]),Table_ErrorList[[#This Row],[Relevant Cell Value]]=Dropdown_NotSelectedValue,Table_ErrorList[[#This Row],[Relevant Cell Value]]=0)</f>
        <v>1</v>
      </c>
      <c r="B25" s="107">
        <f ca="1">IFERROR(INDIRECT(Table_ErrorList[[#This Row],[Attention To Named Range]]),"Error")</f>
        <v>0</v>
      </c>
      <c r="C25" s="102">
        <v>120</v>
      </c>
      <c r="D25" s="102" t="str">
        <f ca="1">IF(Table_ErrorList[[#This Row],[Manual Hierarchy]]="",CONCATENATE(TEXT(Table_ErrorList[[#This Row],[Section '#]],"00"),"-",TEXT(COUNTIF($E25:OFFSET(Table_ErrorList[[#Headers],[Section '#]],1,0,1,1),Table_ErrorList[[#This Row],[Section '#]]),"000")),Table_ErrorList[[#This Row],[Manual Hierarchy]])</f>
        <v>02-002</v>
      </c>
      <c r="E25" s="104">
        <v>2</v>
      </c>
      <c r="F25" s="104" t="str">
        <f>IFERROR(VLOOKUP(Table_ErrorList[[#This Row],[Section '#]],Table_SectionNames[],MATCH(Table_SectionNames[[#Headers],[Name]],Table_SectionNames[#Headers],0),FALSE),"Not found")</f>
        <v>Travel Details</v>
      </c>
      <c r="G25" s="104"/>
      <c r="H25" s="85" t="str">
        <f>IFERROR(VLOOKUP(Table_ErrorList[[#This Row],[Attention To Named Range]],Table_NamedRanges[],MATCH(Table_NamedRanges[[#Headers],[Reference Type]],Table_NamedRanges[#Headers],0),FALSE),"Error")</f>
        <v>Single Cell</v>
      </c>
      <c r="I25" s="85" t="s">
        <v>141</v>
      </c>
      <c r="J25" s="107" t="str">
        <f>IF(Table_ErrorList[[#This Row],[Manual Reference]]="",Table_ErrorList[[#This Row],[''Attention To'' Refence]],Table_ErrorList[[#This Row],[Manual Reference]])&amp;","</f>
        <v>$C$28,</v>
      </c>
      <c r="K25" s="107" t="str">
        <f>SUBSTITUTE(SUBSTITUTE(VLOOKUP(Table_ErrorList[[#This Row],[Attention To Named Range]],Table_NamedRanges[],MATCH(Table_NamedRanges[[#Headers],[Reference Text]],Table_NamedRanges[#Headers],0),FALSE),"=",""),"'Travel Expense Summary'!","")</f>
        <v>$C$28</v>
      </c>
      <c r="L25" s="107"/>
      <c r="M25" s="85" t="s">
        <v>161</v>
      </c>
      <c r="N25" s="85" t="s">
        <v>1185</v>
      </c>
      <c r="O25" s="85" t="b">
        <v>1</v>
      </c>
      <c r="P25" s="106" t="s">
        <v>1097</v>
      </c>
      <c r="Q25" s="106" t="s">
        <v>123</v>
      </c>
      <c r="R25" s="106" t="str">
        <f>CONCATENATE(Table_ErrorList[[#This Row],[Details Explanation (Line '#1)]],IF(Table_ErrorList[[#This Row],[Details Explanation (Line '#2)]]&lt;&gt;"",CHAR(10)&amp;Table_ErrorList[[#This Row],[Details Explanation (Line '#2)]],""))</f>
        <v xml:space="preserve">This is the destination for your travel.
This is a free text field with a 40 character limit. </v>
      </c>
      <c r="S25" s="85" t="b">
        <v>1</v>
      </c>
      <c r="T25" s="85" t="str">
        <f>IF(LEN(Table_ErrorList[[#This Row],[Message Bar Display]])&gt;$U$5,"Too Long, Characters = "&amp;LEN(Table_ErrorList[[#This Row],[Message Bar Display]])," ")</f>
        <v xml:space="preserve"> </v>
      </c>
      <c r="U25" s="85" t="str">
        <f>IF(LEN(Table_ErrorList[[#This Row],[Details Explanation (Line '#1)]])&gt;$U$5,"Too Long, Characters = "&amp;LEN(Table_ErrorList[[#This Row],[Details Explanation (Line '#1)]])," ")</f>
        <v xml:space="preserve"> </v>
      </c>
      <c r="V25" s="85" t="str">
        <f>IF(LEN(Table_ErrorList[[#This Row],[Details Explanation (Line '#2)]])&gt;$U$5,"Too Long, Characters = "&amp;LEN(Table_ErrorList[[#This Row],[Details Explanation (Line '#2)]])," ")</f>
        <v xml:space="preserve"> </v>
      </c>
    </row>
    <row r="26" spans="1:22" ht="22.5" x14ac:dyDescent="0.25">
      <c r="A26" s="85" t="b">
        <f ca="1">OR(ISBLANK(Table_ErrorList[[#This Row],[Relevant Cell Value]]),Table_ErrorList[[#This Row],[Relevant Cell Value]]=Dropdown_NotSelectedValue,Table_ErrorList[[#This Row],[Relevant Cell Value]]=0)</f>
        <v>1</v>
      </c>
      <c r="B26" s="107" t="str">
        <f ca="1">IFERROR(INDIRECT(Table_ErrorList[[#This Row],[Attention To Named Range]]),"Error")</f>
        <v>Select</v>
      </c>
      <c r="C26" s="102">
        <v>130</v>
      </c>
      <c r="D26" s="102" t="str">
        <f ca="1">IF(Table_ErrorList[[#This Row],[Manual Hierarchy]]="",CONCATENATE(TEXT(Table_ErrorList[[#This Row],[Section '#]],"00"),"-",TEXT(COUNTIF($E26:OFFSET(Table_ErrorList[[#Headers],[Section '#]],1,0,1,1),Table_ErrorList[[#This Row],[Section '#]]),"000")),Table_ErrorList[[#This Row],[Manual Hierarchy]])</f>
        <v>02-003</v>
      </c>
      <c r="E26" s="104">
        <v>2</v>
      </c>
      <c r="F26" s="104" t="str">
        <f>IFERROR(VLOOKUP(Table_ErrorList[[#This Row],[Section '#]],Table_SectionNames[],MATCH(Table_SectionNames[[#Headers],[Name]],Table_SectionNames[#Headers],0),FALSE),"Not found")</f>
        <v>Travel Details</v>
      </c>
      <c r="G26" s="104"/>
      <c r="H26" s="85" t="str">
        <f>IFERROR(VLOOKUP(Table_ErrorList[[#This Row],[Attention To Named Range]],Table_NamedRanges[],MATCH(Table_NamedRanges[[#Headers],[Reference Type]],Table_NamedRanges[#Headers],0),FALSE),"Error")</f>
        <v>Single Cell</v>
      </c>
      <c r="I26" s="85" t="s">
        <v>163</v>
      </c>
      <c r="J26" s="107" t="str">
        <f>IF(Table_ErrorList[[#This Row],[Manual Reference]]="",Table_ErrorList[[#This Row],[''Attention To'' Refence]],Table_ErrorList[[#This Row],[Manual Reference]])&amp;","</f>
        <v>$C$29,</v>
      </c>
      <c r="K26" s="107" t="str">
        <f>SUBSTITUTE(SUBSTITUTE(VLOOKUP(Table_ErrorList[[#This Row],[Attention To Named Range]],Table_NamedRanges[],MATCH(Table_NamedRanges[[#Headers],[Reference Text]],Table_NamedRanges[#Headers],0),FALSE),"=",""),"'Travel Expense Summary'!","")</f>
        <v>$C$29</v>
      </c>
      <c r="L26" s="107"/>
      <c r="M26" s="85" t="s">
        <v>1099</v>
      </c>
      <c r="N26" s="85" t="s">
        <v>1184</v>
      </c>
      <c r="O26" s="85" t="b">
        <v>1</v>
      </c>
      <c r="P26" s="106" t="s">
        <v>1098</v>
      </c>
      <c r="Q26" s="106" t="s">
        <v>1100</v>
      </c>
      <c r="R26" s="106" t="str">
        <f>CONCATENATE(Table_ErrorList[[#This Row],[Details Explanation (Line '#1)]],IF(Table_ErrorList[[#This Row],[Details Explanation (Line '#2)]]&lt;&gt;"",CHAR(10)&amp;Table_ErrorList[[#This Row],[Details Explanation (Line '#2)]],""))</f>
        <v>Select 'Range' from the in-cell dropdown list.
This field is required to determine HST rebate rates and eligibility.</v>
      </c>
      <c r="S26" s="85" t="b">
        <v>1</v>
      </c>
      <c r="T26" s="85" t="str">
        <f>IF(LEN(Table_ErrorList[[#This Row],[Message Bar Display]])&gt;$U$5,"Too Long, Characters = "&amp;LEN(Table_ErrorList[[#This Row],[Message Bar Display]])," ")</f>
        <v xml:space="preserve"> </v>
      </c>
      <c r="U26" s="85" t="str">
        <f>IF(LEN(Table_ErrorList[[#This Row],[Details Explanation (Line '#1)]])&gt;$U$5,"Too Long, Characters = "&amp;LEN(Table_ErrorList[[#This Row],[Details Explanation (Line '#1)]])," ")</f>
        <v xml:space="preserve"> </v>
      </c>
      <c r="V26" s="85" t="str">
        <f>IF(LEN(Table_ErrorList[[#This Row],[Details Explanation (Line '#2)]])&gt;$U$5,"Too Long, Characters = "&amp;LEN(Table_ErrorList[[#This Row],[Details Explanation (Line '#2)]])," ")</f>
        <v xml:space="preserve"> </v>
      </c>
    </row>
    <row r="27" spans="1:22" ht="22.5" x14ac:dyDescent="0.25">
      <c r="A27" s="85" t="b">
        <f ca="1">OR(ISBLANK(Table_ErrorList[[#This Row],[Relevant Cell Value]]),Table_ErrorList[[#This Row],[Relevant Cell Value]]=Dropdown_NotSelectedValue,Table_ErrorList[[#This Row],[Relevant Cell Value]]=0)</f>
        <v>1</v>
      </c>
      <c r="B27" s="107" t="str">
        <f ca="1">IFERROR(INDIRECT(Table_ErrorList[[#This Row],[Attention To Named Range]]),"Error")</f>
        <v>Select</v>
      </c>
      <c r="C27" s="102">
        <v>140</v>
      </c>
      <c r="D27" s="102" t="str">
        <f ca="1">IF(Table_ErrorList[[#This Row],[Manual Hierarchy]]="",CONCATENATE(TEXT(Table_ErrorList[[#This Row],[Section '#]],"00"),"-",TEXT(COUNTIF($E27:OFFSET(Table_ErrorList[[#Headers],[Section '#]],1,0,1,1),Table_ErrorList[[#This Row],[Section '#]]),"000")),Table_ErrorList[[#This Row],[Manual Hierarchy]])</f>
        <v>02-004</v>
      </c>
      <c r="E27" s="104">
        <v>2</v>
      </c>
      <c r="F27" s="104" t="str">
        <f>IFERROR(VLOOKUP(Table_ErrorList[[#This Row],[Section '#]],Table_SectionNames[],MATCH(Table_SectionNames[[#Headers],[Name]],Table_SectionNames[#Headers],0),FALSE),"Not found")</f>
        <v>Travel Details</v>
      </c>
      <c r="G27" s="104"/>
      <c r="H27" s="85" t="str">
        <f>IFERROR(VLOOKUP(Table_ErrorList[[#This Row],[Attention To Named Range]],Table_NamedRanges[],MATCH(Table_NamedRanges[[#Headers],[Reference Type]],Table_NamedRanges[#Headers],0),FALSE),"Error")</f>
        <v>Single Cell</v>
      </c>
      <c r="I27" s="85" t="s">
        <v>142</v>
      </c>
      <c r="J27" s="107" t="str">
        <f>IF(Table_ErrorList[[#This Row],[Manual Reference]]="",Table_ErrorList[[#This Row],[''Attention To'' Refence]],Table_ErrorList[[#This Row],[Manual Reference]])&amp;","</f>
        <v>$C$30,</v>
      </c>
      <c r="K27" s="107" t="str">
        <f>SUBSTITUTE(SUBSTITUTE(VLOOKUP(Table_ErrorList[[#This Row],[Attention To Named Range]],Table_NamedRanges[],MATCH(Table_NamedRanges[[#Headers],[Reference Text]],Table_NamedRanges[#Headers],0),FALSE),"=",""),"'Travel Expense Summary'!","")</f>
        <v>$C$30</v>
      </c>
      <c r="L27" s="107"/>
      <c r="M27" s="85" t="s">
        <v>164</v>
      </c>
      <c r="N27" s="85" t="s">
        <v>1183</v>
      </c>
      <c r="O27" s="85" t="b">
        <v>1</v>
      </c>
      <c r="P27" s="106" t="s">
        <v>165</v>
      </c>
      <c r="Q27" s="106" t="s">
        <v>1101</v>
      </c>
      <c r="R27" s="106" t="str">
        <f>CONCATENATE(Table_ErrorList[[#This Row],[Details Explanation (Line '#1)]],IF(Table_ErrorList[[#This Row],[Details Explanation (Line '#2)]]&lt;&gt;"",CHAR(10)&amp;Table_ErrorList[[#This Row],[Details Explanation (Line '#2)]],""))</f>
        <v>Select 'Trip Type' from the in-cell dropdown list.
This field differentiates between 'One-way' or 'Round-trip' travel.</v>
      </c>
      <c r="S27" s="85" t="b">
        <v>1</v>
      </c>
      <c r="T27" s="85" t="str">
        <f>IF(LEN(Table_ErrorList[[#This Row],[Message Bar Display]])&gt;$U$5,"Too Long, Characters = "&amp;LEN(Table_ErrorList[[#This Row],[Message Bar Display]])," ")</f>
        <v xml:space="preserve"> </v>
      </c>
      <c r="U27" s="85" t="str">
        <f>IF(LEN(Table_ErrorList[[#This Row],[Details Explanation (Line '#1)]])&gt;$U$5,"Too Long, Characters = "&amp;LEN(Table_ErrorList[[#This Row],[Details Explanation (Line '#1)]])," ")</f>
        <v xml:space="preserve"> </v>
      </c>
      <c r="V27" s="85" t="str">
        <f>IF(LEN(Table_ErrorList[[#This Row],[Details Explanation (Line '#2)]])&gt;$U$5,"Too Long, Characters = "&amp;LEN(Table_ErrorList[[#This Row],[Details Explanation (Line '#2)]])," ")</f>
        <v xml:space="preserve"> </v>
      </c>
    </row>
    <row r="28" spans="1:22" ht="15" customHeight="1" x14ac:dyDescent="0.25">
      <c r="A28" s="85" t="b">
        <f ca="1">OR(ISBLANK(Table_ErrorList[[#This Row],[Relevant Cell Value]]),Table_ErrorList[[#This Row],[Relevant Cell Value]]=Dropdown_NotSelectedValue,Table_ErrorList[[#This Row],[Relevant Cell Value]]=0)</f>
        <v>1</v>
      </c>
      <c r="B28" s="107">
        <f ca="1">IFERROR(INDIRECT(Table_ErrorList[[#This Row],[Attention To Named Range]]),"Error")</f>
        <v>0</v>
      </c>
      <c r="C28" s="102">
        <v>150</v>
      </c>
      <c r="D28" s="102" t="str">
        <f ca="1">IF(Table_ErrorList[[#This Row],[Manual Hierarchy]]="",CONCATENATE(TEXT(Table_ErrorList[[#This Row],[Section '#]],"00"),"-",TEXT(COUNTIF($E28:OFFSET(Table_ErrorList[[#Headers],[Section '#]],1,0,1,1),Table_ErrorList[[#This Row],[Section '#]]),"000")),Table_ErrorList[[#This Row],[Manual Hierarchy]])</f>
        <v>02-005</v>
      </c>
      <c r="E28" s="104">
        <v>2</v>
      </c>
      <c r="F28" s="104" t="str">
        <f>IFERROR(VLOOKUP(Table_ErrorList[[#This Row],[Section '#]],Table_SectionNames[],MATCH(Table_SectionNames[[#Headers],[Name]],Table_SectionNames[#Headers],0),FALSE),"Not found")</f>
        <v>Travel Details</v>
      </c>
      <c r="G28" s="104"/>
      <c r="H28" s="85" t="str">
        <f>IFERROR(VLOOKUP(Table_ErrorList[[#This Row],[Attention To Named Range]],Table_NamedRanges[],MATCH(Table_NamedRanges[[#Headers],[Reference Type]],Table_NamedRanges[#Headers],0),FALSE),"Error")</f>
        <v>Single Cell</v>
      </c>
      <c r="I28" s="85" t="s">
        <v>143</v>
      </c>
      <c r="J28" s="107" t="str">
        <f>IF(Table_ErrorList[[#This Row],[Manual Reference]]="",Table_ErrorList[[#This Row],[''Attention To'' Refence]],Table_ErrorList[[#This Row],[Manual Reference]])&amp;","</f>
        <v>$C$31,</v>
      </c>
      <c r="K28" s="107" t="str">
        <f>SUBSTITUTE(SUBSTITUTE(VLOOKUP(Table_ErrorList[[#This Row],[Attention To Named Range]],Table_NamedRanges[],MATCH(Table_NamedRanges[[#Headers],[Reference Text]],Table_NamedRanges[#Headers],0),FALSE),"=",""),"'Travel Expense Summary'!","")</f>
        <v>$C$31</v>
      </c>
      <c r="L28" s="107"/>
      <c r="M28" s="85" t="s">
        <v>166</v>
      </c>
      <c r="N28" s="85" t="s">
        <v>1182</v>
      </c>
      <c r="O28" s="85" t="b">
        <v>1</v>
      </c>
      <c r="P28" s="106" t="s">
        <v>922</v>
      </c>
      <c r="Q28" s="106" t="s">
        <v>921</v>
      </c>
      <c r="R28" s="106" t="str">
        <f>CONCATENATE(Table_ErrorList[[#This Row],[Details Explanation (Line '#1)]],IF(Table_ErrorList[[#This Row],[Details Explanation (Line '#2)]]&lt;&gt;"",CHAR(10)&amp;Table_ErrorList[[#This Row],[Details Explanation (Line '#2)]],""))</f>
        <v>Enter a 'Travel Start Date' in any format recognizable by Excel.
For example, it could be entered in full (ie. January 1, 2000) or it can be entered as DD/MM/YY or YYYY/MM/DD.</v>
      </c>
      <c r="S28" s="85" t="b">
        <v>1</v>
      </c>
      <c r="T28" s="85" t="str">
        <f>IF(LEN(Table_ErrorList[[#This Row],[Message Bar Display]])&gt;$U$5,"Too Long, Characters = "&amp;LEN(Table_ErrorList[[#This Row],[Message Bar Display]])," ")</f>
        <v xml:space="preserve"> </v>
      </c>
      <c r="U28" s="85" t="str">
        <f>IF(LEN(Table_ErrorList[[#This Row],[Details Explanation (Line '#1)]])&gt;$U$5,"Too Long, Characters = "&amp;LEN(Table_ErrorList[[#This Row],[Details Explanation (Line '#1)]])," ")</f>
        <v xml:space="preserve"> </v>
      </c>
      <c r="V28" s="85" t="str">
        <f>IF(LEN(Table_ErrorList[[#This Row],[Details Explanation (Line '#2)]])&gt;$U$5,"Too Long, Characters = "&amp;LEN(Table_ErrorList[[#This Row],[Details Explanation (Line '#2)]])," ")</f>
        <v xml:space="preserve"> </v>
      </c>
    </row>
    <row r="29" spans="1:22" ht="33.75" x14ac:dyDescent="0.25">
      <c r="A29" s="85" t="b">
        <f ca="1">OR(ISBLANK(Table_ErrorList[[#This Row],[Relevant Cell Value]]),Table_ErrorList[[#This Row],[Relevant Cell Value]]=Dropdown_NotSelectedValue,Table_ErrorList[[#This Row],[Relevant Cell Value]]=0)</f>
        <v>1</v>
      </c>
      <c r="B29" s="107">
        <f ca="1">IFERROR(INDIRECT(Table_ErrorList[[#This Row],[Attention To Named Range]]),"Error")</f>
        <v>0</v>
      </c>
      <c r="C29" s="102">
        <v>160</v>
      </c>
      <c r="D29" s="102" t="str">
        <f ca="1">IF(Table_ErrorList[[#This Row],[Manual Hierarchy]]="",CONCATENATE(TEXT(Table_ErrorList[[#This Row],[Section '#]],"00"),"-",TEXT(COUNTIF($E29:OFFSET(Table_ErrorList[[#Headers],[Section '#]],1,0,1,1),Table_ErrorList[[#This Row],[Section '#]]),"000")),Table_ErrorList[[#This Row],[Manual Hierarchy]])</f>
        <v>02-006</v>
      </c>
      <c r="E29" s="104">
        <v>2</v>
      </c>
      <c r="F29" s="104" t="str">
        <f>IFERROR(VLOOKUP(Table_ErrorList[[#This Row],[Section '#]],Table_SectionNames[],MATCH(Table_SectionNames[[#Headers],[Name]],Table_SectionNames[#Headers],0),FALSE),"Not found")</f>
        <v>Travel Details</v>
      </c>
      <c r="G29" s="104"/>
      <c r="H29" s="85" t="str">
        <f>IFERROR(VLOOKUP(Table_ErrorList[[#This Row],[Attention To Named Range]],Table_NamedRanges[],MATCH(Table_NamedRanges[[#Headers],[Reference Type]],Table_NamedRanges[#Headers],0),FALSE),"Error")</f>
        <v>Single Cell</v>
      </c>
      <c r="I29" s="85" t="s">
        <v>144</v>
      </c>
      <c r="J29" s="107" t="str">
        <f>IF(Table_ErrorList[[#This Row],[Manual Reference]]="",Table_ErrorList[[#This Row],[''Attention To'' Refence]],Table_ErrorList[[#This Row],[Manual Reference]])&amp;","</f>
        <v>$C$32,</v>
      </c>
      <c r="K29" s="107" t="str">
        <f>SUBSTITUTE(SUBSTITUTE(VLOOKUP(Table_ErrorList[[#This Row],[Attention To Named Range]],Table_NamedRanges[],MATCH(Table_NamedRanges[[#Headers],[Reference Text]],Table_NamedRanges[#Headers],0),FALSE),"=",""),"'Travel Expense Summary'!","")</f>
        <v>$C$32</v>
      </c>
      <c r="L29" s="107"/>
      <c r="M29" s="85" t="s">
        <v>167</v>
      </c>
      <c r="N29" s="85" t="s">
        <v>1181</v>
      </c>
      <c r="O29" s="85" t="b">
        <v>1</v>
      </c>
      <c r="P29" s="106" t="s">
        <v>1102</v>
      </c>
      <c r="Q29" s="106" t="s">
        <v>1103</v>
      </c>
      <c r="R29" s="106" t="str">
        <f>CONCATENATE(Table_ErrorList[[#This Row],[Details Explanation (Line '#1)]],IF(Table_ErrorList[[#This Row],[Details Explanation (Line '#2)]]&lt;&gt;"",CHAR(10)&amp;Table_ErrorList[[#This Row],[Details Explanation (Line '#2)]],""))</f>
        <v xml:space="preserve">Select a 'Travel End Date' from the in-cell dropdown list.
Travel End Date must be within 60 days of 'Travel Start Date'. Ensure you are submitting separate travel claims for each travel occurrence. </v>
      </c>
      <c r="S29" s="85" t="b">
        <v>1</v>
      </c>
      <c r="T29" s="85" t="str">
        <f>IF(LEN(Table_ErrorList[[#This Row],[Message Bar Display]])&gt;$U$5,"Too Long, Characters = "&amp;LEN(Table_ErrorList[[#This Row],[Message Bar Display]])," ")</f>
        <v xml:space="preserve"> </v>
      </c>
      <c r="U29" s="85" t="str">
        <f>IF(LEN(Table_ErrorList[[#This Row],[Details Explanation (Line '#1)]])&gt;$U$5,"Too Long, Characters = "&amp;LEN(Table_ErrorList[[#This Row],[Details Explanation (Line '#1)]])," ")</f>
        <v xml:space="preserve"> </v>
      </c>
      <c r="V29" s="85" t="str">
        <f>IF(LEN(Table_ErrorList[[#This Row],[Details Explanation (Line '#2)]])&gt;$U$5,"Too Long, Characters = "&amp;LEN(Table_ErrorList[[#This Row],[Details Explanation (Line '#2)]])," ")</f>
        <v xml:space="preserve"> </v>
      </c>
    </row>
    <row r="30" spans="1:22" s="32" customFormat="1" ht="33.75" x14ac:dyDescent="0.25">
      <c r="A30" s="107" t="b">
        <f>IF(AND(Field15_TravelStartDate&gt;0,Field16_TravelEndDate&gt;0),Field15_TravelStartDate&gt;Field16_TravelEndDate,FALSE)</f>
        <v>0</v>
      </c>
      <c r="B30" s="107" t="str">
        <f ca="1">IFERROR(INDIRECT(Table_ErrorList[[#This Row],[Attention To Named Range]]),"Error")</f>
        <v>Error</v>
      </c>
      <c r="C30" s="102">
        <v>161</v>
      </c>
      <c r="D30" s="102" t="str">
        <f ca="1">IF(Table_ErrorList[[#This Row],[Manual Hierarchy]]="",CONCATENATE(TEXT(Table_ErrorList[[#This Row],[Section '#]],"00"),"-",TEXT(COUNTIF($E30:OFFSET(Table_ErrorList[[#Headers],[Section '#]],1,0,1,1),Table_ErrorList[[#This Row],[Section '#]]),"000")),Table_ErrorList[[#This Row],[Manual Hierarchy]])</f>
        <v>02-007</v>
      </c>
      <c r="E30" s="104">
        <v>2</v>
      </c>
      <c r="F30" s="104" t="str">
        <f>IFERROR(VLOOKUP(Table_ErrorList[[#This Row],[Section '#]],Table_SectionNames[],MATCH(Table_SectionNames[[#Headers],[Name]],Table_SectionNames[#Headers],0),FALSE),"Not found")</f>
        <v>Travel Details</v>
      </c>
      <c r="G30" s="104"/>
      <c r="H30" s="107" t="str">
        <f>IFERROR(VLOOKUP(Table_ErrorList[[#This Row],[Attention To Named Range]],Table_NamedRanges[],MATCH(Table_NamedRanges[[#Headers],[Reference Type]],Table_NamedRanges[#Headers],0),FALSE),"Error")</f>
        <v>Error</v>
      </c>
      <c r="I30" s="102"/>
      <c r="J30" s="107" t="str">
        <f>IF(Table_ErrorList[[#This Row],[Manual Reference]]="",Table_ErrorList[[#This Row],[''Attention To'' Refence]],Table_ErrorList[[#This Row],[Manual Reference]])&amp;","</f>
        <v>$C$31,$C$32,</v>
      </c>
      <c r="K30" s="107" t="e">
        <f>SUBSTITUTE(SUBSTITUTE(VLOOKUP(Table_ErrorList[[#This Row],[Attention To Named Range]],Table_NamedRanges[],MATCH(Table_NamedRanges[[#Headers],[Reference Text]],Table_NamedRanges[#Headers],0),FALSE),"=",""),"'Travel Expense Summary'!","")</f>
        <v>#N/A</v>
      </c>
      <c r="L30" s="107" t="s">
        <v>1162</v>
      </c>
      <c r="M30" s="85" t="s">
        <v>1163</v>
      </c>
      <c r="N30" s="85" t="s">
        <v>1164</v>
      </c>
      <c r="O30" s="85" t="b">
        <v>1</v>
      </c>
      <c r="P30" s="106" t="s">
        <v>1165</v>
      </c>
      <c r="Q30" s="106" t="s">
        <v>1166</v>
      </c>
      <c r="R30" s="109" t="str">
        <f>CONCATENATE(Table_ErrorList[[#This Row],[Details Explanation (Line '#1)]],IF(Table_ErrorList[[#This Row],[Details Explanation (Line '#2)]]&lt;&gt;"",CHAR(10)&amp;Table_ErrorList[[#This Row],[Details Explanation (Line '#2)]],""))</f>
        <v>The 'Travel Start Date' is after the 'Travel End Date'.
Correct the dates to ensure that the 'Travel End Date' is after the 'Travel Start Date'.</v>
      </c>
      <c r="S30" s="85" t="b">
        <v>1</v>
      </c>
      <c r="T30" s="107" t="str">
        <f>IF(LEN(Table_ErrorList[[#This Row],[Message Bar Display]])&gt;$U$5,"Too Long, Characters = "&amp;LEN(Table_ErrorList[[#This Row],[Message Bar Display]])," ")</f>
        <v xml:space="preserve"> </v>
      </c>
      <c r="U30" s="107" t="str">
        <f>IF(LEN(Table_ErrorList[[#This Row],[Details Explanation (Line '#1)]])&gt;$U$5,"Too Long, Characters = "&amp;LEN(Table_ErrorList[[#This Row],[Details Explanation (Line '#1)]])," ")</f>
        <v xml:space="preserve"> </v>
      </c>
      <c r="V30" s="107" t="str">
        <f>IF(LEN(Table_ErrorList[[#This Row],[Details Explanation (Line '#2)]])&gt;$U$5,"Too Long, Characters = "&amp;LEN(Table_ErrorList[[#This Row],[Details Explanation (Line '#2)]])," ")</f>
        <v xml:space="preserve"> </v>
      </c>
    </row>
    <row r="31" spans="1:22" s="32" customFormat="1" ht="45" x14ac:dyDescent="0.25">
      <c r="A31" s="107" t="b">
        <f>IF(AND(Field15_TravelStartDate&gt;0,Field16_TravelEndDate&gt;0),(DATEDIF(Field15_TravelStartDate,Field16_TravelEndDate,"D")+1)&gt;60,FALSE)</f>
        <v>0</v>
      </c>
      <c r="B31" s="107" t="str">
        <f ca="1">IFERROR(INDIRECT(Table_ErrorList[[#This Row],[Attention To Named Range]]),"Error")</f>
        <v>Error</v>
      </c>
      <c r="C31" s="102">
        <v>162</v>
      </c>
      <c r="D31" s="102" t="str">
        <f ca="1">IF(Table_ErrorList[[#This Row],[Manual Hierarchy]]="",CONCATENATE(TEXT(Table_ErrorList[[#This Row],[Section '#]],"00"),"-",TEXT(COUNTIF($E31:OFFSET(Table_ErrorList[[#Headers],[Section '#]],1,0,1,1),Table_ErrorList[[#This Row],[Section '#]]),"000")),Table_ErrorList[[#This Row],[Manual Hierarchy]])</f>
        <v>02-008</v>
      </c>
      <c r="E31" s="104">
        <v>2</v>
      </c>
      <c r="F31" s="104" t="str">
        <f>IFERROR(VLOOKUP(Table_ErrorList[[#This Row],[Section '#]],Table_SectionNames[],MATCH(Table_SectionNames[[#Headers],[Name]],Table_SectionNames[#Headers],0),FALSE),"Not found")</f>
        <v>Travel Details</v>
      </c>
      <c r="G31" s="104"/>
      <c r="H31" s="107" t="str">
        <f>IFERROR(VLOOKUP(Table_ErrorList[[#This Row],[Attention To Named Range]],Table_NamedRanges[],MATCH(Table_NamedRanges[[#Headers],[Reference Type]],Table_NamedRanges[#Headers],0),FALSE),"Error")</f>
        <v>Error</v>
      </c>
      <c r="I31" s="102"/>
      <c r="J31" s="107" t="str">
        <f>IF(Table_ErrorList[[#This Row],[Manual Reference]]="",Table_ErrorList[[#This Row],[''Attention To'' Refence]],Table_ErrorList[[#This Row],[Manual Reference]])&amp;","</f>
        <v>$C$31,$C$32,</v>
      </c>
      <c r="K31" s="107" t="e">
        <f>SUBSTITUTE(SUBSTITUTE(VLOOKUP(Table_ErrorList[[#This Row],[Attention To Named Range]],Table_NamedRanges[],MATCH(Table_NamedRanges[[#Headers],[Reference Text]],Table_NamedRanges[#Headers],0),FALSE),"=",""),"'Travel Expense Summary'!","")</f>
        <v>#N/A</v>
      </c>
      <c r="L31" s="107" t="s">
        <v>1162</v>
      </c>
      <c r="M31" s="85" t="s">
        <v>1167</v>
      </c>
      <c r="N31" s="85" t="s">
        <v>1164</v>
      </c>
      <c r="O31" s="85" t="b">
        <v>1</v>
      </c>
      <c r="P31" s="106" t="s">
        <v>1168</v>
      </c>
      <c r="Q31" s="106" t="s">
        <v>1169</v>
      </c>
      <c r="R31" s="109" t="str">
        <f>CONCATENATE(Table_ErrorList[[#This Row],[Details Explanation (Line '#1)]],IF(Table_ErrorList[[#This Row],[Details Explanation (Line '#2)]]&lt;&gt;"",CHAR(10)&amp;Table_ErrorList[[#This Row],[Details Explanation (Line '#2)]],""))</f>
        <v>Ensure that 'Travel End Date' is no greater than 60 days from the 'Travel Start Date'. 
If you are attempting to claim a trip longer than 60 days, please submit two separate one-way claims.</v>
      </c>
      <c r="S31" s="85" t="b">
        <v>1</v>
      </c>
      <c r="T31" s="107" t="str">
        <f>IF(LEN(Table_ErrorList[[#This Row],[Message Bar Display]])&gt;$U$5,"Too Long, Characters = "&amp;LEN(Table_ErrorList[[#This Row],[Message Bar Display]])," ")</f>
        <v xml:space="preserve"> </v>
      </c>
      <c r="U31" s="107" t="str">
        <f>IF(LEN(Table_ErrorList[[#This Row],[Details Explanation (Line '#1)]])&gt;$U$5,"Too Long, Characters = "&amp;LEN(Table_ErrorList[[#This Row],[Details Explanation (Line '#1)]])," ")</f>
        <v xml:space="preserve"> </v>
      </c>
      <c r="V31" s="107" t="str">
        <f>IF(LEN(Table_ErrorList[[#This Row],[Details Explanation (Line '#2)]])&gt;$U$5,"Too Long, Characters = "&amp;LEN(Table_ErrorList[[#This Row],[Details Explanation (Line '#2)]])," ")</f>
        <v xml:space="preserve"> </v>
      </c>
    </row>
    <row r="32" spans="1:22" ht="33.75" x14ac:dyDescent="0.25">
      <c r="A32" s="105" t="b">
        <f>IF(VLOOKUP(Field09_PayeeType,Table_PayeeType[],MATCH(Table_PayeeType[[#Headers],[ClaimDetails Available]],Table_PayeeType[#Headers],0),FALSE),
OR(ISBLANK(Table_ErrorList[[#This Row],[Relevant Cell Value]]),Table_ErrorList[[#This Row],[Relevant Cell Value]]=Dropdown_NotSelectedValue,Table_ErrorList[[#This Row],[Relevant Cell Value]]=0),FALSE)</f>
        <v>0</v>
      </c>
      <c r="B32" s="107" t="str">
        <f ca="1">IFERROR(INDIRECT(Table_ErrorList[[#This Row],[Attention To Named Range]]),"Error")</f>
        <v>Select</v>
      </c>
      <c r="C32" s="102">
        <v>170</v>
      </c>
      <c r="D32" s="102" t="str">
        <f ca="1">IF(Table_ErrorList[[#This Row],[Manual Hierarchy]]="",CONCATENATE(TEXT(Table_ErrorList[[#This Row],[Section '#]],"00"),"-",TEXT(COUNTIF($E32:OFFSET(Table_ErrorList[[#Headers],[Section '#]],1,0,1,1),Table_ErrorList[[#This Row],[Section '#]]),"000")),Table_ErrorList[[#This Row],[Manual Hierarchy]])</f>
        <v>03-001</v>
      </c>
      <c r="E32" s="104">
        <v>3</v>
      </c>
      <c r="F32" s="104" t="str">
        <f>IFERROR(VLOOKUP(Table_ErrorList[[#This Row],[Section '#]],Table_SectionNames[],MATCH(Table_SectionNames[[#Headers],[Name]],Table_SectionNames[#Headers],0),FALSE),"Not found")</f>
        <v>Claim Details</v>
      </c>
      <c r="G32" s="104"/>
      <c r="H32" s="107" t="str">
        <f>IFERROR(VLOOKUP(Table_ErrorList[[#This Row],[Attention To Named Range]],Table_NamedRanges[],MATCH(Table_NamedRanges[[#Headers],[Reference Type]],Table_NamedRanges[#Headers],0),FALSE),"Error")</f>
        <v>Single Cell</v>
      </c>
      <c r="I32" s="102" t="s">
        <v>147</v>
      </c>
      <c r="J32" s="107" t="str">
        <f>IF(Table_ErrorList[[#This Row],[Manual Reference]]="",Table_ErrorList[[#This Row],[''Attention To'' Refence]],Table_ErrorList[[#This Row],[Manual Reference]])&amp;","</f>
        <v>$C$35,</v>
      </c>
      <c r="K32" s="107" t="str">
        <f>SUBSTITUTE(SUBSTITUTE(VLOOKUP(Table_ErrorList[[#This Row],[Attention To Named Range]],Table_NamedRanges[],MATCH(Table_NamedRanges[[#Headers],[Reference Text]],Table_NamedRanges[#Headers],0),FALSE),"=",""),"'Travel Expense Summary'!","")</f>
        <v>$C$35</v>
      </c>
      <c r="L32" s="107"/>
      <c r="M32" s="85" t="s">
        <v>168</v>
      </c>
      <c r="N32" s="85" t="s">
        <v>1180</v>
      </c>
      <c r="O32" s="85" t="b">
        <v>1</v>
      </c>
      <c r="P32" s="106" t="s">
        <v>169</v>
      </c>
      <c r="Q32" s="106" t="s">
        <v>1104</v>
      </c>
      <c r="R32" s="106" t="str">
        <f>CONCATENATE(Table_ErrorList[[#This Row],[Details Explanation (Line '#1)]],IF(Table_ErrorList[[#This Row],[Details Explanation (Line '#2)]]&lt;&gt;"",CHAR(10)&amp;Table_ErrorList[[#This Row],[Details Explanation (Line '#2)]],""))</f>
        <v>Select a 'Claim Type' from the in-cell dropdown list.
The 'Claim Type' field differentiates between a travel advance and a final claim.</v>
      </c>
      <c r="S32" s="85" t="b">
        <v>1</v>
      </c>
      <c r="T32" s="85" t="str">
        <f>IF(LEN(Table_ErrorList[[#This Row],[Message Bar Display]])&gt;$U$5,"Too Long, Characters = "&amp;LEN(Table_ErrorList[[#This Row],[Message Bar Display]])," ")</f>
        <v xml:space="preserve"> </v>
      </c>
      <c r="U32" s="85" t="str">
        <f>IF(LEN(Table_ErrorList[[#This Row],[Details Explanation (Line '#1)]])&gt;$U$5,"Too Long, Characters = "&amp;LEN(Table_ErrorList[[#This Row],[Details Explanation (Line '#1)]])," ")</f>
        <v xml:space="preserve"> </v>
      </c>
      <c r="V32" s="85" t="str">
        <f>IF(LEN(Table_ErrorList[[#This Row],[Details Explanation (Line '#2)]])&gt;$U$5,"Too Long, Characters = "&amp;LEN(Table_ErrorList[[#This Row],[Details Explanation (Line '#2)]])," ")</f>
        <v xml:space="preserve"> </v>
      </c>
    </row>
    <row r="33" spans="1:22" ht="22.5" x14ac:dyDescent="0.25">
      <c r="A33" s="110" t="b">
        <f>IF(AND(VLOOKUP(Field17_ClaimType,Table_ClaimType[],MATCH(Table_ClaimType[[#Headers],[Advance Amount Available]],Table_ClaimType[#Headers],0),FALSE)=TRUE,VLOOKUP(Field09_PayeeType,Table_PayeeType[],MATCH(Table_PayeeType[[#Headers],[ClaimDetails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3" s="107">
        <f ca="1">IFERROR(INDIRECT(Table_ErrorList[[#This Row],[Attention To Named Range]]),"Error")</f>
        <v>0</v>
      </c>
      <c r="C33" s="102">
        <v>180</v>
      </c>
      <c r="D33" s="102" t="str">
        <f ca="1">IF(Table_ErrorList[[#This Row],[Manual Hierarchy]]="",CONCATENATE(TEXT(Table_ErrorList[[#This Row],[Section '#]],"00"),"-",TEXT(COUNTIF($E33:OFFSET(Table_ErrorList[[#Headers],[Section '#]],1,0,1,1),Table_ErrorList[[#This Row],[Section '#]]),"000")),Table_ErrorList[[#This Row],[Manual Hierarchy]])</f>
        <v>03-002</v>
      </c>
      <c r="E33" s="104">
        <v>3</v>
      </c>
      <c r="F33" s="104" t="str">
        <f>IFERROR(VLOOKUP(Table_ErrorList[[#This Row],[Section '#]],Table_SectionNames[],MATCH(Table_SectionNames[[#Headers],[Name]],Table_SectionNames[#Headers],0),FALSE),"Not found")</f>
        <v>Claim Details</v>
      </c>
      <c r="G33" s="104"/>
      <c r="H33" s="107" t="str">
        <f>IFERROR(VLOOKUP(Table_ErrorList[[#This Row],[Attention To Named Range]],Table_NamedRanges[],MATCH(Table_NamedRanges[[#Headers],[Reference Type]],Table_NamedRanges[#Headers],0),FALSE),"Error")</f>
        <v>Single Cell</v>
      </c>
      <c r="I33" s="102" t="s">
        <v>148</v>
      </c>
      <c r="J33" s="107" t="str">
        <f>IF(Table_ErrorList[[#This Row],[Manual Reference]]="",Table_ErrorList[[#This Row],[''Attention To'' Refence]],Table_ErrorList[[#This Row],[Manual Reference]])&amp;","</f>
        <v>$C$36,</v>
      </c>
      <c r="K33" s="107" t="str">
        <f>SUBSTITUTE(SUBSTITUTE(VLOOKUP(Table_ErrorList[[#This Row],[Attention To Named Range]],Table_NamedRanges[],MATCH(Table_NamedRanges[[#Headers],[Reference Text]],Table_NamedRanges[#Headers],0),FALSE),"=",""),"'Travel Expense Summary'!","")</f>
        <v>$C$36</v>
      </c>
      <c r="L33" s="107"/>
      <c r="M33" s="111" t="s">
        <v>243</v>
      </c>
      <c r="N33" s="85" t="s">
        <v>1179</v>
      </c>
      <c r="O33" s="85" t="b">
        <v>1</v>
      </c>
      <c r="P33" s="106" t="s">
        <v>709</v>
      </c>
      <c r="Q33" s="106"/>
      <c r="R33" s="109" t="str">
        <f>CONCATENATE(Table_ErrorList[[#This Row],[Details Explanation (Line '#1)]],IF(Table_ErrorList[[#This Row],[Details Explanation (Line '#2)]]&lt;&gt;"",CHAR(10)&amp;Table_ErrorList[[#This Row],[Details Explanation (Line '#2)]],""))</f>
        <v>Enter the amount of the 'Travel Advance' you received with respect to this trip.</v>
      </c>
      <c r="S33" s="85" t="b">
        <v>1</v>
      </c>
      <c r="T33" s="85" t="str">
        <f>IF(LEN(Table_ErrorList[[#This Row],[Message Bar Display]])&gt;$U$5,"Too Long, Characters = "&amp;LEN(Table_ErrorList[[#This Row],[Message Bar Display]])," ")</f>
        <v xml:space="preserve"> </v>
      </c>
      <c r="U33" s="85" t="str">
        <f>IF(LEN(Table_ErrorList[[#This Row],[Details Explanation (Line '#1)]])&gt;$U$5,"Too Long, Characters = "&amp;LEN(Table_ErrorList[[#This Row],[Details Explanation (Line '#1)]])," ")</f>
        <v xml:space="preserve"> </v>
      </c>
      <c r="V33" s="85" t="str">
        <f>IF(LEN(Table_ErrorList[[#This Row],[Details Explanation (Line '#2)]])&gt;$U$5,"Too Long, Characters = "&amp;LEN(Table_ErrorList[[#This Row],[Details Explanation (Line '#2)]])," ")</f>
        <v xml:space="preserve"> </v>
      </c>
    </row>
    <row r="34" spans="1:22" ht="45" x14ac:dyDescent="0.25">
      <c r="A34" s="110" t="b">
        <f>IF(VLOOKUP(Field09_PayeeType,Table_PayeeType[],MATCH(Table_PayeeType[[#Headers],[ClaimDetails Available]],Table_PayeeType[#Headers],0),FALSE)=TRUE,OR(ISBLANK(Table_ErrorList[[#This Row],[Relevant Cell Value]]),Table_ErrorList[[#This Row],[Relevant Cell Value]]=Dropdown_NotSelectedValue,Table_ErrorList[[#This Row],[Relevant Cell Value]]=0),FALSE)</f>
        <v>0</v>
      </c>
      <c r="B34" s="110" t="str">
        <f ca="1">IFERROR(INDIRECT(Table_ErrorList[[#This Row],[Attention To Named Range]]),"Error")</f>
        <v>Select</v>
      </c>
      <c r="C34" s="112">
        <v>190</v>
      </c>
      <c r="D34" s="112" t="str">
        <f ca="1">IF(Table_ErrorList[[#This Row],[Manual Hierarchy]]="",CONCATENATE(TEXT(Table_ErrorList[[#This Row],[Section '#]],"00"),"-",TEXT(COUNTIF($E34:OFFSET(Table_ErrorList[[#Headers],[Section '#]],1,0,1,1),Table_ErrorList[[#This Row],[Section '#]]),"000")),Table_ErrorList[[#This Row],[Manual Hierarchy]])</f>
        <v>03-003</v>
      </c>
      <c r="E34" s="113">
        <v>3</v>
      </c>
      <c r="F34" s="113" t="str">
        <f>IFERROR(VLOOKUP(Table_ErrorList[[#This Row],[Section '#]],Table_SectionNames[],MATCH(Table_SectionNames[[#Headers],[Name]],Table_SectionNames[#Headers],0),FALSE),"Not found")</f>
        <v>Claim Details</v>
      </c>
      <c r="G34" s="113"/>
      <c r="H34" s="110" t="str">
        <f>IFERROR(VLOOKUP(Table_ErrorList[[#This Row],[Attention To Named Range]],Table_NamedRanges[],MATCH(Table_NamedRanges[[#Headers],[Reference Type]],Table_NamedRanges[#Headers],0),FALSE),"Error")</f>
        <v>Single Cell</v>
      </c>
      <c r="I34" s="112" t="s">
        <v>478</v>
      </c>
      <c r="J34" s="110" t="str">
        <f>IF(Table_ErrorList[[#This Row],[Manual Reference]]="",Table_ErrorList[[#This Row],[''Attention To'' Refence]],Table_ErrorList[[#This Row],[Manual Reference]])&amp;","</f>
        <v>$C$37,</v>
      </c>
      <c r="K34" s="110" t="str">
        <f>SUBSTITUTE(SUBSTITUTE(VLOOKUP(Table_ErrorList[[#This Row],[Attention To Named Range]],Table_NamedRanges[],MATCH(Table_NamedRanges[[#Headers],[Reference Text]],Table_NamedRanges[#Headers],0),FALSE),"=",""),"'Travel Expense Summary'!","")</f>
        <v>$C$37</v>
      </c>
      <c r="L34" s="110"/>
      <c r="M34" s="111" t="s">
        <v>487</v>
      </c>
      <c r="N34" s="85" t="s">
        <v>1178</v>
      </c>
      <c r="O34" s="85" t="b">
        <v>1</v>
      </c>
      <c r="P34" s="106" t="s">
        <v>561</v>
      </c>
      <c r="Q34" s="106" t="s">
        <v>488</v>
      </c>
      <c r="R34" s="109" t="str">
        <f>CONCATENATE(Table_ErrorList[[#This Row],[Details Explanation (Line '#1)]],IF(Table_ErrorList[[#This Row],[Details Explanation (Line '#2)]]&lt;&gt;"",CHAR(10)&amp;Table_ErrorList[[#This Row],[Details Explanation (Line '#2)]],""))</f>
        <v>Select a 'Purpose' from the in-cell dropdown list. If this is not Conference Travel, select 'Other'.
This field is to help determine whether or not you need to include an 'Applicanation for Conference Attendance' with your claim.</v>
      </c>
      <c r="S34" s="85" t="b">
        <v>1</v>
      </c>
      <c r="T34" s="85" t="str">
        <f>IF(LEN(Table_ErrorList[[#This Row],[Message Bar Display]])&gt;$U$5,"Too Long, Characters = "&amp;LEN(Table_ErrorList[[#This Row],[Message Bar Display]])," ")</f>
        <v xml:space="preserve"> </v>
      </c>
      <c r="U34" s="85" t="str">
        <f>IF(LEN(Table_ErrorList[[#This Row],[Details Explanation (Line '#1)]])&gt;$U$5,"Too Long, Characters = "&amp;LEN(Table_ErrorList[[#This Row],[Details Explanation (Line '#1)]])," ")</f>
        <v xml:space="preserve"> </v>
      </c>
      <c r="V34" s="85" t="str">
        <f>IF(LEN(Table_ErrorList[[#This Row],[Details Explanation (Line '#2)]])&gt;$U$5,"Too Long, Characters = "&amp;LEN(Table_ErrorList[[#This Row],[Details Explanation (Line '#2)]])," ")</f>
        <v xml:space="preserve"> </v>
      </c>
    </row>
    <row r="35" spans="1:22" ht="45" x14ac:dyDescent="0.25">
      <c r="A35" s="110" t="b">
        <f>IF(AND(VLOOKUP(Field19_Purpose,Table_Conference[],MATCH(Table_Conference[[#Headers],[Form Required Available]],Table_Conference[#Headers],0),FALSE)=TRUE,VLOOKUP(Field09_PayeeType,Table_PayeeType[],MATCH(Table_PayeeType[[#Headers],[ClaimDetails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5" s="110" t="str">
        <f ca="1">IFERROR(INDIRECT(Table_ErrorList[[#This Row],[Attention To Named Range]]),"Error")</f>
        <v>Select</v>
      </c>
      <c r="C35" s="112">
        <v>200</v>
      </c>
      <c r="D35" s="112" t="str">
        <f ca="1">IF(Table_ErrorList[[#This Row],[Manual Hierarchy]]="",CONCATENATE(TEXT(Table_ErrorList[[#This Row],[Section '#]],"00"),"-",TEXT(COUNTIF($E35:OFFSET(Table_ErrorList[[#Headers],[Section '#]],1,0,1,1),Table_ErrorList[[#This Row],[Section '#]]),"000")),Table_ErrorList[[#This Row],[Manual Hierarchy]])</f>
        <v>04-001</v>
      </c>
      <c r="E35" s="113">
        <v>4</v>
      </c>
      <c r="F35" s="113" t="str">
        <f>IFERROR(VLOOKUP(Table_ErrorList[[#This Row],[Section '#]],Table_SectionNames[],MATCH(Table_SectionNames[[#Headers],[Name]],Table_SectionNames[#Headers],0),FALSE),"Not found")</f>
        <v>Travel Particulars</v>
      </c>
      <c r="G35" s="113"/>
      <c r="H35" s="110" t="str">
        <f>IFERROR(VLOOKUP(Table_ErrorList[[#This Row],[Attention To Named Range]],Table_NamedRanges[],MATCH(Table_NamedRanges[[#Headers],[Reference Type]],Table_NamedRanges[#Headers],0),FALSE),"Error")</f>
        <v>Single Cell</v>
      </c>
      <c r="I35" s="112" t="s">
        <v>510</v>
      </c>
      <c r="J35" s="110" t="str">
        <f>IF(Table_ErrorList[[#This Row],[Manual Reference]]="",Table_ErrorList[[#This Row],[''Attention To'' Refence]],Table_ErrorList[[#This Row],[Manual Reference]])&amp;","</f>
        <v>$C$38,</v>
      </c>
      <c r="K35" s="110" t="str">
        <f>SUBSTITUTE(SUBSTITUTE(VLOOKUP(Table_ErrorList[[#This Row],[Attention To Named Range]],Table_NamedRanges[],MATCH(Table_NamedRanges[[#Headers],[Reference Text]],Table_NamedRanges[#Headers],0),FALSE),"=",""),"'Travel Expense Summary'!","")</f>
        <v>$C$38</v>
      </c>
      <c r="L35" s="110"/>
      <c r="M35" s="111" t="s">
        <v>489</v>
      </c>
      <c r="N35" s="85" t="s">
        <v>544</v>
      </c>
      <c r="O35" s="85" t="b">
        <v>1</v>
      </c>
      <c r="P35" s="106" t="s">
        <v>560</v>
      </c>
      <c r="Q35" s="106" t="s">
        <v>559</v>
      </c>
      <c r="R35" s="109" t="str">
        <f>CONCATENATE(Table_ErrorList[[#This Row],[Details Explanation (Line '#1)]],IF(Table_ErrorList[[#This Row],[Details Explanation (Line '#2)]]&lt;&gt;"",CHAR(10)&amp;Table_ErrorList[[#This Row],[Details Explanation (Line '#2)]],""))</f>
        <v>Select who conference travel was 'Requested By' from the in-cell dropdwn list.
This field identifies whether or not conference travel was intitiated by the organization or the payee to determine the documentation required.</v>
      </c>
      <c r="S35" s="85" t="b">
        <v>1</v>
      </c>
      <c r="T35" s="85" t="str">
        <f>IF(LEN(Table_ErrorList[[#This Row],[Message Bar Display]])&gt;$U$5,"Too Long, Characters = "&amp;LEN(Table_ErrorList[[#This Row],[Message Bar Display]])," ")</f>
        <v xml:space="preserve"> </v>
      </c>
      <c r="U35" s="85" t="str">
        <f>IF(LEN(Table_ErrorList[[#This Row],[Details Explanation (Line '#1)]])&gt;$U$5,"Too Long, Characters = "&amp;LEN(Table_ErrorList[[#This Row],[Details Explanation (Line '#1)]])," ")</f>
        <v xml:space="preserve"> </v>
      </c>
      <c r="V35" s="85" t="str">
        <f>IF(LEN(Table_ErrorList[[#This Row],[Details Explanation (Line '#2)]])&gt;$U$5,"Too Long, Characters = "&amp;LEN(Table_ErrorList[[#This Row],[Details Explanation (Line '#2)]])," ")</f>
        <v xml:space="preserve"> </v>
      </c>
    </row>
    <row r="36" spans="1:22" s="32" customFormat="1" ht="22.5" x14ac:dyDescent="0.25">
      <c r="A36" s="107" t="b">
        <f ca="1">OR(ISBLANK(Table_ErrorList[[#This Row],[Relevant Cell Value]]),Table_ErrorList[[#This Row],[Relevant Cell Value]]=Dropdown_NotSelectedValue,Table_ErrorList[[#This Row],[Relevant Cell Value]]=0)</f>
        <v>1</v>
      </c>
      <c r="B36" s="107">
        <f ca="1">IFERROR(INDIRECT(Table_ErrorList[[#This Row],[Attention To Named Range]]),"Error")</f>
        <v>0</v>
      </c>
      <c r="C36" s="102">
        <v>210</v>
      </c>
      <c r="D36" s="102" t="str">
        <f ca="1">IF(Table_ErrorList[[#This Row],[Manual Hierarchy]]="",CONCATENATE(TEXT(Table_ErrorList[[#This Row],[Section '#]],"00"),"-",TEXT(COUNTIF($E36:OFFSET(Table_ErrorList[[#Headers],[Section '#]],1,0,1,1),Table_ErrorList[[#This Row],[Section '#]]),"000")),Table_ErrorList[[#This Row],[Manual Hierarchy]])</f>
        <v>04-002</v>
      </c>
      <c r="E36" s="104">
        <v>4</v>
      </c>
      <c r="F36" s="104" t="str">
        <f>IFERROR(VLOOKUP(Table_ErrorList[[#This Row],[Section '#]],Table_SectionNames[],MATCH(Table_SectionNames[[#Headers],[Name]],Table_SectionNames[#Headers],0),FALSE),"Not found")</f>
        <v>Travel Particulars</v>
      </c>
      <c r="G36" s="104"/>
      <c r="H36" s="107" t="str">
        <f>IFERROR(VLOOKUP(Table_ErrorList[[#This Row],[Attention To Named Range]],Table_NamedRanges[],MATCH(Table_NamedRanges[[#Headers],[Reference Type]],Table_NamedRanges[#Headers],0),FALSE),"Error")</f>
        <v>Single Cell</v>
      </c>
      <c r="I36" s="102" t="s">
        <v>481</v>
      </c>
      <c r="J36" s="107" t="str">
        <f>IF(Table_ErrorList[[#This Row],[Manual Reference]]="",Table_ErrorList[[#This Row],[''Attention To'' Refence]],Table_ErrorList[[#This Row],[Manual Reference]])&amp;","</f>
        <v>$H$13,</v>
      </c>
      <c r="K36" s="107" t="str">
        <f>SUBSTITUTE(SUBSTITUTE(VLOOKUP(Table_ErrorList[[#This Row],[Attention To Named Range]],Table_NamedRanges[],MATCH(Table_NamedRanges[[#Headers],[Reference Text]],Table_NamedRanges[#Headers],0),FALSE),"=",""),"'Travel Expense Summary'!","")</f>
        <v>$H$13</v>
      </c>
      <c r="L36" s="107"/>
      <c r="M36" s="85" t="s">
        <v>224</v>
      </c>
      <c r="N36" s="85" t="s">
        <v>890</v>
      </c>
      <c r="O36" s="85" t="b">
        <v>1</v>
      </c>
      <c r="P36" s="106" t="s">
        <v>891</v>
      </c>
      <c r="Q36" s="106" t="s">
        <v>1105</v>
      </c>
      <c r="R36" s="109" t="str">
        <f>CONCATENATE(Table_ErrorList[[#This Row],[Details Explanation (Line '#1)]],IF(Table_ErrorList[[#This Row],[Details Explanation (Line '#2)]]&lt;&gt;"",CHAR(10)&amp;Table_ErrorList[[#This Row],[Details Explanation (Line '#2)]],""))</f>
        <v xml:space="preserve">Enter a 'Description' of why the travel is occuring.
This is a free text field with a 200 character limit. </v>
      </c>
      <c r="S36" s="85" t="b">
        <v>1</v>
      </c>
      <c r="T36" s="85" t="str">
        <f>IF(LEN(Table_ErrorList[[#This Row],[Message Bar Display]])&gt;$U$5,"Too Long, Characters = "&amp;LEN(Table_ErrorList[[#This Row],[Message Bar Display]])," ")</f>
        <v xml:space="preserve"> </v>
      </c>
      <c r="U36" s="85" t="str">
        <f>IF(LEN(Table_ErrorList[[#This Row],[Details Explanation (Line '#1)]])&gt;$U$5,"Too Long, Characters = "&amp;LEN(Table_ErrorList[[#This Row],[Details Explanation (Line '#1)]])," ")</f>
        <v xml:space="preserve"> </v>
      </c>
      <c r="V36" s="85" t="str">
        <f>IF(LEN(Table_ErrorList[[#This Row],[Details Explanation (Line '#2)]])&gt;$U$5,"Too Long, Characters = "&amp;LEN(Table_ErrorList[[#This Row],[Details Explanation (Line '#2)]])," ")</f>
        <v xml:space="preserve"> </v>
      </c>
    </row>
    <row r="37" spans="1:22" s="32" customFormat="1" ht="30" x14ac:dyDescent="0.25">
      <c r="A37" s="110" t="b">
        <f>IF(COUNTA(Field23_ContactName,Field24_ContactEmail,Field25_ContactPhone)&gt;0,
IF(OR(COUNTA(Field24_ContactEmail)&gt;0,COUNTA(Field25_ContactPhone)&gt;0),OR(ISBLANK(Table_ErrorList[[#This Row],[Relevant Cell Value]]),Table_ErrorList[[#This Row],[Relevant Cell Value]]=Dropdown_NotSelectedValue,Table_ErrorList[[#This Row],[Relevant Cell Value]]=0),FALSE),FALSE)</f>
        <v>0</v>
      </c>
      <c r="B37" s="110">
        <f ca="1">IFERROR(INDIRECT(Table_ErrorList[[#This Row],[Attention To Named Range]]),"Error")</f>
        <v>0</v>
      </c>
      <c r="C37" s="112">
        <v>221</v>
      </c>
      <c r="D37" s="112" t="str">
        <f ca="1">IF(Table_ErrorList[[#This Row],[Manual Hierarchy]]="",CONCATENATE(TEXT(Table_ErrorList[[#This Row],[Section '#]],"00"),"-",TEXT(COUNTIF($E37:OFFSET(Table_ErrorList[[#Headers],[Section '#]],1,0,1,1),Table_ErrorList[[#This Row],[Section '#]]),"000")),Table_ErrorList[[#This Row],[Manual Hierarchy]])</f>
        <v>05-001</v>
      </c>
      <c r="E37" s="113">
        <v>5</v>
      </c>
      <c r="F37" s="113" t="str">
        <f>IFERROR(VLOOKUP(Table_ErrorList[[#This Row],[Section '#]],Table_SectionNames[],MATCH(Table_SectionNames[[#Headers],[Name]],Table_SectionNames[#Headers],0),FALSE),"Not found")</f>
        <v>Contact (if different than 'Payee')</v>
      </c>
      <c r="G37" s="113"/>
      <c r="H37" s="110" t="str">
        <f>IFERROR(VLOOKUP(Table_ErrorList[[#This Row],[Attention To Named Range]],Table_NamedRanges[],MATCH(Table_NamedRanges[[#Headers],[Reference Type]],Table_NamedRanges[#Headers],0),FALSE),"Error")</f>
        <v>Single Cell</v>
      </c>
      <c r="I37" s="112" t="s">
        <v>506</v>
      </c>
      <c r="J37" s="110" t="str">
        <f>IF(Table_ErrorList[[#This Row],[Manual Reference]]="",Table_ErrorList[[#This Row],[''Attention To'' Refence]],Table_ErrorList[[#This Row],[Manual Reference]])&amp;","</f>
        <v>$J$21,</v>
      </c>
      <c r="K37" s="110" t="str">
        <f>SUBSTITUTE(SUBSTITUTE(VLOOKUP(Table_ErrorList[[#This Row],[Attention To Named Range]],Table_NamedRanges[],MATCH(Table_NamedRanges[[#Headers],[Reference Text]],Table_NamedRanges[#Headers],0),FALSE),"=",""),"'Travel Expense Summary'!","")</f>
        <v>$J$21</v>
      </c>
      <c r="L37" s="110"/>
      <c r="M37" s="111" t="s">
        <v>540</v>
      </c>
      <c r="N37" s="111" t="s">
        <v>1176</v>
      </c>
      <c r="O37" s="85" t="b">
        <v>1</v>
      </c>
      <c r="P37" s="106" t="s">
        <v>1009</v>
      </c>
      <c r="Q37" s="106"/>
      <c r="R37" s="109" t="str">
        <f>CONCATENATE(Table_ErrorList[[#This Row],[Details Explanation (Line '#1)]],IF(Table_ErrorList[[#This Row],[Details Explanation (Line '#2)]]&lt;&gt;"",CHAR(10)&amp;Table_ErrorList[[#This Row],[Details Explanation (Line '#2)]],""))</f>
        <v>Enter a first and last name for the contact associated with the email and/or phone number entered.</v>
      </c>
      <c r="S37" s="85" t="b">
        <v>1</v>
      </c>
      <c r="T37" s="85" t="str">
        <f>IF(LEN(Table_ErrorList[[#This Row],[Message Bar Display]])&gt;$U$5,"Too Long, Characters = "&amp;LEN(Table_ErrorList[[#This Row],[Message Bar Display]])," ")</f>
        <v xml:space="preserve"> </v>
      </c>
      <c r="U37" s="85" t="str">
        <f>IF(LEN(Table_ErrorList[[#This Row],[Details Explanation (Line '#1)]])&gt;$U$5,"Too Long, Characters = "&amp;LEN(Table_ErrorList[[#This Row],[Details Explanation (Line '#1)]])," ")</f>
        <v xml:space="preserve"> </v>
      </c>
      <c r="V37" s="85" t="str">
        <f>IF(LEN(Table_ErrorList[[#This Row],[Details Explanation (Line '#2)]])&gt;$U$5,"Too Long, Characters = "&amp;LEN(Table_ErrorList[[#This Row],[Details Explanation (Line '#2)]])," ")</f>
        <v xml:space="preserve"> </v>
      </c>
    </row>
    <row r="38" spans="1:22" s="32" customFormat="1" ht="30" x14ac:dyDescent="0.25">
      <c r="A38" s="110" t="b">
        <f>IF(COUNTA(Field23_ContactName,Field24_ContactEmail,Field25_ContactPhone)&gt;0,
IF(OR(COUNTA(Field23_ContactName)&gt;0,COUNTA(Field25_ContactPhone)&gt;0),OR(ISBLANK(Table_ErrorList[[#This Row],[Relevant Cell Value]]),Table_ErrorList[[#This Row],[Relevant Cell Value]]=Dropdown_NotSelectedValue,Table_ErrorList[[#This Row],[Relevant Cell Value]]=0),FALSE),FALSE)</f>
        <v>0</v>
      </c>
      <c r="B38" s="110">
        <f ca="1">IFERROR(INDIRECT(Table_ErrorList[[#This Row],[Attention To Named Range]]),"Error")</f>
        <v>0</v>
      </c>
      <c r="C38" s="112">
        <v>222</v>
      </c>
      <c r="D38" s="112" t="str">
        <f ca="1">IF(Table_ErrorList[[#This Row],[Manual Hierarchy]]="",CONCATENATE(TEXT(Table_ErrorList[[#This Row],[Section '#]],"00"),"-",TEXT(COUNTIF($E38:OFFSET(Table_ErrorList[[#Headers],[Section '#]],1,0,1,1),Table_ErrorList[[#This Row],[Section '#]]),"000")),Table_ErrorList[[#This Row],[Manual Hierarchy]])</f>
        <v>05-002</v>
      </c>
      <c r="E38" s="113">
        <v>5</v>
      </c>
      <c r="F38" s="113" t="str">
        <f>IFERROR(VLOOKUP(Table_ErrorList[[#This Row],[Section '#]],Table_SectionNames[],MATCH(Table_SectionNames[[#Headers],[Name]],Table_SectionNames[#Headers],0),FALSE),"Not found")</f>
        <v>Contact (if different than 'Payee')</v>
      </c>
      <c r="G38" s="113"/>
      <c r="H38" s="110" t="str">
        <f>IFERROR(VLOOKUP(Table_ErrorList[[#This Row],[Attention To Named Range]],Table_NamedRanges[],MATCH(Table_NamedRanges[[#Headers],[Reference Type]],Table_NamedRanges[#Headers],0),FALSE),"Error")</f>
        <v>Single Cell</v>
      </c>
      <c r="I38" s="112" t="s">
        <v>507</v>
      </c>
      <c r="J38" s="110" t="str">
        <f>IF(Table_ErrorList[[#This Row],[Manual Reference]]="",Table_ErrorList[[#This Row],[''Attention To'' Refence]],Table_ErrorList[[#This Row],[Manual Reference]])&amp;","</f>
        <v>$J$22,</v>
      </c>
      <c r="K38" s="110" t="str">
        <f>SUBSTITUTE(SUBSTITUTE(VLOOKUP(Table_ErrorList[[#This Row],[Attention To Named Range]],Table_NamedRanges[],MATCH(Table_NamedRanges[[#Headers],[Reference Text]],Table_NamedRanges[#Headers],0),FALSE),"=",""),"'Travel Expense Summary'!","")</f>
        <v>$J$22</v>
      </c>
      <c r="L38" s="110"/>
      <c r="M38" s="111" t="s">
        <v>541</v>
      </c>
      <c r="N38" s="111" t="s">
        <v>1177</v>
      </c>
      <c r="O38" s="85" t="b">
        <v>1</v>
      </c>
      <c r="P38" s="106" t="s">
        <v>1007</v>
      </c>
      <c r="Q38" s="106"/>
      <c r="R38" s="109" t="str">
        <f>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v>
      </c>
      <c r="S38" s="85" t="b">
        <v>1</v>
      </c>
      <c r="T38" s="85" t="str">
        <f>IF(LEN(Table_ErrorList[[#This Row],[Message Bar Display]])&gt;$U$5,"Too Long, Characters = "&amp;LEN(Table_ErrorList[[#This Row],[Message Bar Display]])," ")</f>
        <v xml:space="preserve"> </v>
      </c>
      <c r="U38" s="85" t="str">
        <f>IF(LEN(Table_ErrorList[[#This Row],[Details Explanation (Line '#1)]])&gt;$U$5,"Too Long, Characters = "&amp;LEN(Table_ErrorList[[#This Row],[Details Explanation (Line '#1)]])," ")</f>
        <v xml:space="preserve"> </v>
      </c>
      <c r="V38" s="85" t="str">
        <f>IF(LEN(Table_ErrorList[[#This Row],[Details Explanation (Line '#2)]])&gt;$U$5,"Too Long, Characters = "&amp;LEN(Table_ErrorList[[#This Row],[Details Explanation (Line '#2)]])," ")</f>
        <v xml:space="preserve"> </v>
      </c>
    </row>
    <row r="39" spans="1:22" ht="45" x14ac:dyDescent="0.25">
      <c r="A39" s="110" t="b">
        <f>IF(COUNTA(Field23_ContactName,Field24_ContactEmail,Field25_ContactPhone)&gt;0,
IF(OR(COUNTA(Field23_ContactName_ContactEmail)&gt;0,COUNTA(Field24_ContactEmail)&gt;0),OR(ISBLANK(Table_ErrorList[[#This Row],[Relevant Cell Value]]),Table_ErrorList[[#This Row],[Relevant Cell Value]]=Dropdown_NotSelectedValue,Table_ErrorList[[#This Row],[Relevant Cell Value]]=0),FALSE), FALSE)</f>
        <v>0</v>
      </c>
      <c r="B39" s="110">
        <f ca="1">IFERROR(INDIRECT(Table_ErrorList[[#This Row],[Attention To Named Range]]),"Error")</f>
        <v>0</v>
      </c>
      <c r="C39" s="112">
        <v>223</v>
      </c>
      <c r="D39" s="112" t="str">
        <f ca="1">IF(Table_ErrorList[[#This Row],[Manual Hierarchy]]="",CONCATENATE(TEXT(Table_ErrorList[[#This Row],[Section '#]],"00"),"-",TEXT(COUNTIF($E39:OFFSET(Table_ErrorList[[#Headers],[Section '#]],1,0,1,1),Table_ErrorList[[#This Row],[Section '#]]),"000")),Table_ErrorList[[#This Row],[Manual Hierarchy]])</f>
        <v>05-003</v>
      </c>
      <c r="E39" s="113">
        <v>5</v>
      </c>
      <c r="F39" s="113" t="str">
        <f>IFERROR(VLOOKUP(Table_ErrorList[[#This Row],[Section '#]],Table_SectionNames[],MATCH(Table_SectionNames[[#Headers],[Name]],Table_SectionNames[#Headers],0),FALSE),"Not found")</f>
        <v>Contact (if different than 'Payee')</v>
      </c>
      <c r="G39" s="113"/>
      <c r="H39" s="110" t="str">
        <f>IFERROR(VLOOKUP(Table_ErrorList[[#This Row],[Attention To Named Range]],Table_NamedRanges[],MATCH(Table_NamedRanges[[#Headers],[Reference Type]],Table_NamedRanges[#Headers],0),FALSE),"Error")</f>
        <v>Single Cell</v>
      </c>
      <c r="I39" s="112" t="s">
        <v>508</v>
      </c>
      <c r="J39" s="110" t="str">
        <f>IF(Table_ErrorList[[#This Row],[Manual Reference]]="",Table_ErrorList[[#This Row],[''Attention To'' Refence]],Table_ErrorList[[#This Row],[Manual Reference]])&amp;","</f>
        <v>$J$23,</v>
      </c>
      <c r="K39" s="110" t="str">
        <f>SUBSTITUTE(SUBSTITUTE(VLOOKUP(Table_ErrorList[[#This Row],[Attention To Named Range]],Table_NamedRanges[],MATCH(Table_NamedRanges[[#Headers],[Reference Text]],Table_NamedRanges[#Headers],0),FALSE),"=",""),"'Travel Expense Summary'!","")</f>
        <v>$J$23</v>
      </c>
      <c r="L39" s="110"/>
      <c r="M39" s="111" t="s">
        <v>542</v>
      </c>
      <c r="N39" s="111" t="s">
        <v>543</v>
      </c>
      <c r="O39" s="85" t="b">
        <v>1</v>
      </c>
      <c r="P39" s="106" t="s">
        <v>1095</v>
      </c>
      <c r="Q39" s="106" t="s">
        <v>1094</v>
      </c>
      <c r="R39" s="109" t="str">
        <f>CONCATENATE(Table_ErrorList[[#This Row],[Details Explanation (Line '#1)]],IF(Table_ErrorList[[#This Row],[Details Explanation (Line '#2)]]&lt;&gt;"",CHAR(10)&amp;Table_ErrorList[[#This Row],[Details Explanation (Line '#2)]],""))</f>
        <v>Enter a 10 digit phone number associated with the 'Contact' identified. This is a 3 digit area code and a 7 digit phone number. 
Enter the number only without any spaces or special characters (ie. 1234567890). The field will format automatically to '(123) 456-7890'.</v>
      </c>
      <c r="S39" s="85" t="b">
        <v>1</v>
      </c>
      <c r="T39" s="85" t="str">
        <f>IF(LEN(Table_ErrorList[[#This Row],[Message Bar Display]])&gt;$U$5,"Too Long, Characters = "&amp;LEN(Table_ErrorList[[#This Row],[Message Bar Display]])," ")</f>
        <v xml:space="preserve"> </v>
      </c>
      <c r="U39" s="85" t="str">
        <f>IF(LEN(Table_ErrorList[[#This Row],[Details Explanation (Line '#1)]])&gt;$U$5,"Too Long, Characters = "&amp;LEN(Table_ErrorList[[#This Row],[Details Explanation (Line '#1)]])," ")</f>
        <v xml:space="preserve"> </v>
      </c>
      <c r="V39" s="85" t="str">
        <f>IF(LEN(Table_ErrorList[[#This Row],[Details Explanation (Line '#2)]])&gt;$U$5,"Too Long, Characters = "&amp;LEN(Table_ErrorList[[#This Row],[Details Explanation (Line '#2)]])," ")</f>
        <v xml:space="preserve"> </v>
      </c>
    </row>
    <row r="40" spans="1:22" x14ac:dyDescent="0.25">
      <c r="A40" s="107" t="b">
        <f>COUNTA(ReceiptEntryArea)=0</f>
        <v>1</v>
      </c>
      <c r="B40" s="107" t="str">
        <f ca="1">IFERROR(INDIRECT(Table_ErrorList[[#This Row],[Attention To Named Range]]),"Error")</f>
        <v>Error</v>
      </c>
      <c r="C40" s="102">
        <v>230</v>
      </c>
      <c r="D40" s="102" t="str">
        <f ca="1">IF(Table_ErrorList[[#This Row],[Manual Hierarchy]]="",CONCATENATE(TEXT(Table_ErrorList[[#This Row],[Section '#]],"00"),"-",TEXT(COUNTIF($E40:OFFSET(Table_ErrorList[[#Headers],[Section '#]],1,0,1,1),Table_ErrorList[[#This Row],[Section '#]]),"000")),Table_ErrorList[[#This Row],[Manual Hierarchy]])</f>
        <v>06-001</v>
      </c>
      <c r="E40" s="104">
        <v>6</v>
      </c>
      <c r="F40" s="104" t="str">
        <f>IFERROR(VLOOKUP(Table_ErrorList[[#This Row],[Section '#]],Table_SectionNames[],MATCH(Table_SectionNames[[#Headers],[Name]],Table_SectionNames[#Headers],0),FALSE),"Not found")</f>
        <v>Meals</v>
      </c>
      <c r="G40" s="104"/>
      <c r="H40" s="107" t="str">
        <f>IFERROR(VLOOKUP(Table_ErrorList[[#This Row],[Attention To Named Range]],Table_NamedRanges[],MATCH(Table_NamedRanges[[#Headers],[Reference Type]],Table_NamedRanges[#Headers],0),FALSE),"Error")</f>
        <v>Multiple (Cell or Range)</v>
      </c>
      <c r="I40" s="102" t="s">
        <v>253</v>
      </c>
      <c r="J40" s="107" t="str">
        <f>IF(Table_ErrorList[[#This Row],[Manual Reference]]="",Table_ErrorList[[#This Row],[''Attention To'' Refence]],Table_ErrorList[[#This Row],[Manual Reference]])&amp;","</f>
        <v>$O$11,$H$25,</v>
      </c>
      <c r="K40" s="107" t="str">
        <f>SUBSTITUTE(SUBSTITUTE(VLOOKUP(Table_ErrorList[[#This Row],[Attention To Named Range]],Table_NamedRanges[],MATCH(Table_NamedRanges[[#Headers],[Reference Text]],Table_NamedRanges[#Headers],0),FALSE),"=",""),"'Travel Expense Summary'!","")</f>
        <v>$O$11,$H$25</v>
      </c>
      <c r="L40" s="107"/>
      <c r="M40" s="85" t="s">
        <v>244</v>
      </c>
      <c r="N40" s="85" t="s">
        <v>244</v>
      </c>
      <c r="O40" s="85" t="b">
        <v>1</v>
      </c>
      <c r="P40" s="106" t="s">
        <v>245</v>
      </c>
      <c r="Q40" s="106"/>
      <c r="R40" s="109" t="str">
        <f>CONCATENATE(Table_ErrorList[[#This Row],[Details Explanation (Line '#1)]],IF(Table_ErrorList[[#This Row],[Details Explanation (Line '#2)]]&lt;&gt;"",CHAR(10)&amp;Table_ErrorList[[#This Row],[Details Explanation (Line '#2)]],""))</f>
        <v>Begin filling out either the '5. Meals' table or the '6. Other Expenses' table.</v>
      </c>
      <c r="S40" s="85" t="b">
        <v>1</v>
      </c>
      <c r="T40" s="85" t="str">
        <f>IF(LEN(Table_ErrorList[[#This Row],[Message Bar Display]])&gt;$U$5,"Too Long, Characters = "&amp;LEN(Table_ErrorList[[#This Row],[Message Bar Display]])," ")</f>
        <v xml:space="preserve"> </v>
      </c>
      <c r="U40" s="85" t="str">
        <f>IF(LEN(Table_ErrorList[[#This Row],[Details Explanation (Line '#1)]])&gt;$U$5,"Too Long, Characters = "&amp;LEN(Table_ErrorList[[#This Row],[Details Explanation (Line '#1)]])," ")</f>
        <v xml:space="preserve"> </v>
      </c>
      <c r="V40" s="85" t="str">
        <f>IF(LEN(Table_ErrorList[[#This Row],[Details Explanation (Line '#2)]])&gt;$U$5,"Too Long, Characters = "&amp;LEN(Table_ErrorList[[#This Row],[Details Explanation (Line '#2)]])," ")</f>
        <v xml:space="preserve"> </v>
      </c>
    </row>
    <row r="41" spans="1:22" ht="45" x14ac:dyDescent="0.25">
      <c r="A41" s="107" t="b">
        <f>COUNTIF(Meal_DatesArray,MODE(Meal_DatesArray))&gt;1</f>
        <v>0</v>
      </c>
      <c r="B41" s="107" t="str">
        <f ca="1">IFERROR(INDIRECT(Table_ErrorList[[#This Row],[Attention To Named Range]]),"Error")</f>
        <v/>
      </c>
      <c r="C41" s="102">
        <v>390</v>
      </c>
      <c r="D41" s="102" t="str">
        <f ca="1">IF(Table_ErrorList[[#This Row],[Manual Hierarchy]]="",CONCATENATE(TEXT(Table_ErrorList[[#This Row],[Section '#]],"00"),"-",TEXT(COUNTIF($E41:OFFSET(Table_ErrorList[[#Headers],[Section '#]],1,0,1,1),Table_ErrorList[[#This Row],[Section '#]]),"000")),Table_ErrorList[[#This Row],[Manual Hierarchy]])</f>
        <v>06-002</v>
      </c>
      <c r="E41" s="104">
        <v>6</v>
      </c>
      <c r="F41" s="104" t="str">
        <f>IFERROR(VLOOKUP(Table_ErrorList[[#This Row],[Section '#]],Table_SectionNames[],MATCH(Table_SectionNames[[#Headers],[Name]],Table_SectionNames[#Headers],0),FALSE),"Not found")</f>
        <v>Meals</v>
      </c>
      <c r="G41" s="104"/>
      <c r="H41" s="107" t="str">
        <f>IFERROR(VLOOKUP(Table_ErrorList[[#This Row],[Attention To Named Range]],Table_NamedRanges[],MATCH(Table_NamedRanges[[#Headers],[Reference Type]],Table_NamedRanges[#Headers],0),FALSE),"Error")</f>
        <v>Single Cell</v>
      </c>
      <c r="I41" s="102" t="s">
        <v>314</v>
      </c>
      <c r="J41" s="107" t="str">
        <f ca="1">IF(Table_ErrorList[[#This Row],[Manual Reference]]="",Table_ErrorList[[#This Row],[''Attention To'' Refence]],Table_ErrorList[[#This Row],[Manual Reference]])&amp;","</f>
        <v>'Particulars Validation'!$AY$4,</v>
      </c>
      <c r="K41" s="107" t="str">
        <f>SUBSTITUTE(SUBSTITUTE(VLOOKUP(Table_ErrorList[[#This Row],[Attention To Named Range]],Table_NamedRanges[],MATCH(Table_NamedRanges[[#Headers],[Reference Text]],Table_NamedRanges[#Headers],0),FALSE),"=",""),"'Travel Expense Summary'!","")</f>
        <v>'Particulars Validation'!$AY$4</v>
      </c>
      <c r="L41" s="107" t="str">
        <f ca="1">Meals_DuplicateDates</f>
        <v/>
      </c>
      <c r="M41" s="85" t="s">
        <v>315</v>
      </c>
      <c r="N41" s="85" t="s">
        <v>316</v>
      </c>
      <c r="O41" s="85" t="b">
        <v>1</v>
      </c>
      <c r="P41" s="106" t="s">
        <v>317</v>
      </c>
      <c r="Q41" s="106"/>
      <c r="R41" s="109" t="str">
        <f>CONCATENATE(Table_ErrorList[[#This Row],[Details Explanation (Line '#1)]],IF(Table_ErrorList[[#This Row],[Details Explanation (Line '#2)]]&lt;&gt;"",CHAR(10)&amp;Table_ErrorList[[#This Row],[Details Explanation (Line '#2)]],""))</f>
        <v>Adjust the 'Meal Dates' so that each meal date is unique.</v>
      </c>
      <c r="S41" s="85" t="b">
        <v>1</v>
      </c>
      <c r="T41" s="85" t="str">
        <f>IF(LEN(Table_ErrorList[[#This Row],[Message Bar Display]])&gt;$U$5,"Too Long, Characters = "&amp;LEN(Table_ErrorList[[#This Row],[Message Bar Display]])," ")</f>
        <v xml:space="preserve"> </v>
      </c>
      <c r="U41" s="85" t="str">
        <f>IF(LEN(Table_ErrorList[[#This Row],[Details Explanation (Line '#1)]])&gt;$U$5,"Too Long, Characters = "&amp;LEN(Table_ErrorList[[#This Row],[Details Explanation (Line '#1)]])," ")</f>
        <v xml:space="preserve"> </v>
      </c>
      <c r="V41" s="85" t="str">
        <f>IF(LEN(Table_ErrorList[[#This Row],[Details Explanation (Line '#2)]])&gt;$U$5,"Too Long, Characters = "&amp;LEN(Table_ErrorList[[#This Row],[Details Explanation (Line '#2)]])," ")</f>
        <v xml:space="preserve"> </v>
      </c>
    </row>
    <row r="42" spans="1:22" ht="22.5" x14ac:dyDescent="0.25">
      <c r="A42" s="107" t="b">
        <f>AND(COUNTA(Meals_Receipts01)&gt;0,OR(Meals_Date01=0,Meals_Date01=Dropdown_NotSelectedValue,Meals_Date01=""))</f>
        <v>0</v>
      </c>
      <c r="B42" s="107">
        <f ca="1">IFERROR(INDIRECT(Table_ErrorList[[#This Row],[Attention To Named Range]]),"Error")</f>
        <v>0</v>
      </c>
      <c r="C42" s="102">
        <v>400</v>
      </c>
      <c r="D42" s="102" t="str">
        <f ca="1">IF(Table_ErrorList[[#This Row],[Manual Hierarchy]]="",CONCATENATE(TEXT(Table_ErrorList[[#This Row],[Section '#]],"00"),"-",TEXT(COUNTIF($E42:OFFSET(Table_ErrorList[[#Headers],[Section '#]],1,0,1,1),Table_ErrorList[[#This Row],[Section '#]]),"000")),Table_ErrorList[[#This Row],[Manual Hierarchy]])</f>
        <v>06-003</v>
      </c>
      <c r="E42" s="104">
        <v>6</v>
      </c>
      <c r="F42" s="104" t="str">
        <f>IFERROR(VLOOKUP(Table_ErrorList[[#This Row],[Section '#]],Table_SectionNames[],MATCH(Table_SectionNames[[#Headers],[Name]],Table_SectionNames[#Headers],0),FALSE),"Not found")</f>
        <v>Meals</v>
      </c>
      <c r="G42" s="104"/>
      <c r="H42" s="107" t="str">
        <f>IFERROR(VLOOKUP(Table_ErrorList[[#This Row],[Attention To Named Range]],Table_NamedRanges[],MATCH(Table_NamedRanges[[#Headers],[Reference Type]],Table_NamedRanges[#Headers],0),FALSE),"Error")</f>
        <v>Single Cell</v>
      </c>
      <c r="I42" s="102" t="s">
        <v>262</v>
      </c>
      <c r="J42" s="107" t="str">
        <f>IF(Table_ErrorList[[#This Row],[Manual Reference]]="",Table_ErrorList[[#This Row],[''Attention To'' Refence]],Table_ErrorList[[#This Row],[Manual Reference]])&amp;","</f>
        <v>$P$13,</v>
      </c>
      <c r="K42" s="107" t="str">
        <f>SUBSTITUTE(SUBSTITUTE(VLOOKUP(Table_ErrorList[[#This Row],[Attention To Named Range]],Table_NamedRanges[],MATCH(Table_NamedRanges[[#Headers],[Reference Text]],Table_NamedRanges[#Headers],0),FALSE),"=",""),"'Travel Expense Summary'!","")</f>
        <v>$P$13</v>
      </c>
      <c r="L42" s="107"/>
      <c r="M42" s="85" t="s">
        <v>1174</v>
      </c>
      <c r="N42" s="85" t="s">
        <v>259</v>
      </c>
      <c r="O42" s="85" t="b">
        <v>1</v>
      </c>
      <c r="P42" s="106" t="s">
        <v>260</v>
      </c>
      <c r="Q42" s="124" t="s">
        <v>261</v>
      </c>
      <c r="R42"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2" s="85" t="b">
        <v>1</v>
      </c>
      <c r="T42" s="85" t="str">
        <f>IF(LEN(Table_ErrorList[[#This Row],[Message Bar Display]])&gt;$U$5,"Too Long, Characters = "&amp;LEN(Table_ErrorList[[#This Row],[Message Bar Display]])," ")</f>
        <v xml:space="preserve"> </v>
      </c>
      <c r="U42" s="85" t="str">
        <f>IF(LEN(Table_ErrorList[[#This Row],[Details Explanation (Line '#1)]])&gt;$U$5,"Too Long, Characters = "&amp;LEN(Table_ErrorList[[#This Row],[Details Explanation (Line '#1)]])," ")</f>
        <v xml:space="preserve"> </v>
      </c>
      <c r="V42" s="85" t="str">
        <f>IF(LEN(Table_ErrorList[[#This Row],[Details Explanation (Line '#2)]])&gt;$U$5,"Too Long, Characters = "&amp;LEN(Table_ErrorList[[#This Row],[Details Explanation (Line '#2)]])," ")</f>
        <v xml:space="preserve"> </v>
      </c>
    </row>
    <row r="43" spans="1:22" s="32" customFormat="1" ht="30" x14ac:dyDescent="0.25">
      <c r="A43" s="107" t="b">
        <f>IF(Meals_Date01&gt;0,NOT(AND(Field15_TravelStartDate&lt;=Meals_Date01,Field16_TravelEndDate&gt;=Meals_Date01)),FALSE)</f>
        <v>0</v>
      </c>
      <c r="B43" s="107">
        <f ca="1">IFERROR(INDIRECT(Table_ErrorList[[#This Row],[Attention To Named Range]]),"Error")</f>
        <v>0</v>
      </c>
      <c r="C43" s="102">
        <v>401</v>
      </c>
      <c r="D43" s="102" t="str">
        <f ca="1">IF(Table_ErrorList[[#This Row],[Manual Hierarchy]]="",CONCATENATE(TEXT(Table_ErrorList[[#This Row],[Section '#]],"00"),"-",TEXT(COUNTIF($E43:OFFSET(Table_ErrorList[[#Headers],[Section '#]],1,0,1,1),Table_ErrorList[[#This Row],[Section '#]]),"000")),Table_ErrorList[[#This Row],[Manual Hierarchy]])</f>
        <v>06-004</v>
      </c>
      <c r="E43" s="104">
        <v>6</v>
      </c>
      <c r="F43" s="104" t="str">
        <f>IFERROR(VLOOKUP(Table_ErrorList[[#This Row],[Section '#]],Table_SectionNames[],MATCH(Table_SectionNames[[#Headers],[Name]],Table_SectionNames[#Headers],0),FALSE),"Not found")</f>
        <v>Meals</v>
      </c>
      <c r="G43" s="104"/>
      <c r="H43" s="107" t="str">
        <f>IFERROR(VLOOKUP(Table_ErrorList[[#This Row],[Attention To Named Range]],Table_NamedRanges[],MATCH(Table_NamedRanges[[#Headers],[Reference Type]],Table_NamedRanges[#Headers],0),FALSE),"Error")</f>
        <v>Single Cell</v>
      </c>
      <c r="I43" s="102" t="s">
        <v>262</v>
      </c>
      <c r="J43" s="107" t="str">
        <f>IF(Table_ErrorList[[#This Row],[Manual Reference]]="",Table_ErrorList[[#This Row],[''Attention To'' Refence]],Table_ErrorList[[#This Row],[Manual Reference]])&amp;","</f>
        <v>$P$13,</v>
      </c>
      <c r="K43" s="107" t="str">
        <f>SUBSTITUTE(SUBSTITUTE(VLOOKUP(Table_ErrorList[[#This Row],[Attention To Named Range]],Table_NamedRanges[],MATCH(Table_NamedRanges[[#Headers],[Reference Text]],Table_NamedRanges[#Headers],0),FALSE),"=",""),"'Travel Expense Summary'!","")</f>
        <v>$P$13</v>
      </c>
      <c r="L43" s="107"/>
      <c r="M43" s="85" t="s">
        <v>1175</v>
      </c>
      <c r="N43" s="85" t="s">
        <v>1203</v>
      </c>
      <c r="O43" s="85" t="b">
        <v>1</v>
      </c>
      <c r="P43" s="106" t="s">
        <v>1201</v>
      </c>
      <c r="Q43" s="106" t="s">
        <v>1202</v>
      </c>
      <c r="R43" s="109" t="str">
        <f>CONCATENATE(Table_ErrorList[[#This Row],[Details Explanation (Line '#1)]],IF(Table_ErrorList[[#This Row],[Details Explanation (Line '#2)]]&lt;&gt;"",CHAR(10)&amp;Table_ErrorList[[#This Row],[Details Explanation (Line '#2)]],""))</f>
        <v>Select a 'Meal Date' from the in-cell dropdown list.
The 'Meal Date' must be between 'Travel Start Date' and 'Travel End Date'.</v>
      </c>
      <c r="S43" s="85" t="b">
        <v>1</v>
      </c>
      <c r="T43" s="107" t="str">
        <f>IF(LEN(Table_ErrorList[[#This Row],[Message Bar Display]])&gt;$U$5,"Too Long, Characters = "&amp;LEN(Table_ErrorList[[#This Row],[Message Bar Display]])," ")</f>
        <v xml:space="preserve"> </v>
      </c>
      <c r="U43" s="107" t="str">
        <f>IF(LEN(Table_ErrorList[[#This Row],[Details Explanation (Line '#1)]])&gt;$U$5,"Too Long, Characters = "&amp;LEN(Table_ErrorList[[#This Row],[Details Explanation (Line '#1)]])," ")</f>
        <v xml:space="preserve"> </v>
      </c>
      <c r="V43" s="107" t="str">
        <f>IF(LEN(Table_ErrorList[[#This Row],[Details Explanation (Line '#2)]])&gt;$U$5,"Too Long, Characters = "&amp;LEN(Table_ErrorList[[#This Row],[Details Explanation (Line '#2)]])," ")</f>
        <v xml:space="preserve"> </v>
      </c>
    </row>
    <row r="44" spans="1:22" ht="45" x14ac:dyDescent="0.25">
      <c r="A44" s="107" t="b">
        <f>AND(COUNTA(Meals_Date01)&gt;0,COUNTA(Meals_Receipts01)=0)</f>
        <v>0</v>
      </c>
      <c r="B44" s="107" t="str">
        <f ca="1">IFERROR(INDIRECT(Table_ErrorList[[#This Row],[Attention To Named Range]]),"Error")</f>
        <v>Error</v>
      </c>
      <c r="C44" s="102">
        <v>410</v>
      </c>
      <c r="D44" s="102" t="str">
        <f ca="1">IF(Table_ErrorList[[#This Row],[Manual Hierarchy]]="",CONCATENATE(TEXT(Table_ErrorList[[#This Row],[Section '#]],"00"),"-",TEXT(COUNTIF($E44:OFFSET(Table_ErrorList[[#Headers],[Section '#]],1,0,1,1),Table_ErrorList[[#This Row],[Section '#]]),"000")),Table_ErrorList[[#This Row],[Manual Hierarchy]])</f>
        <v>06-005</v>
      </c>
      <c r="E44" s="104">
        <v>6</v>
      </c>
      <c r="F44" s="104" t="str">
        <f>IFERROR(VLOOKUP(Table_ErrorList[[#This Row],[Section '#]],Table_SectionNames[],MATCH(Table_SectionNames[[#Headers],[Name]],Table_SectionNames[#Headers],0),FALSE),"Not found")</f>
        <v>Meals</v>
      </c>
      <c r="G44" s="104"/>
      <c r="H44" s="107" t="str">
        <f>IFERROR(VLOOKUP(Table_ErrorList[[#This Row],[Attention To Named Range]],Table_NamedRanges[],MATCH(Table_NamedRanges[[#Headers],[Reference Type]],Table_NamedRanges[#Headers],0),FALSE),"Error")</f>
        <v>Multiple (Cell or Range)</v>
      </c>
      <c r="I44" s="102" t="s">
        <v>272</v>
      </c>
      <c r="J44" s="107" t="str">
        <f>IF(Table_ErrorList[[#This Row],[Manual Reference]]="",Table_ErrorList[[#This Row],[''Attention To'' Refence]],Table_ErrorList[[#This Row],[Manual Reference]])&amp;","</f>
        <v>$R$13,$S$13,$T$13,</v>
      </c>
      <c r="K44" s="107" t="str">
        <f>SUBSTITUTE(SUBSTITUTE(VLOOKUP(Table_ErrorList[[#This Row],[Attention To Named Range]],Table_NamedRanges[],MATCH(Table_NamedRanges[[#Headers],[Reference Text]],Table_NamedRanges[#Headers],0),FALSE),"=",""),"'Travel Expense Summary'!","")</f>
        <v>$R$13,$S$13,$T$13</v>
      </c>
      <c r="L44" s="107"/>
      <c r="M44" s="85" t="s">
        <v>258</v>
      </c>
      <c r="N44" s="85" t="s">
        <v>300</v>
      </c>
      <c r="O44" s="85" t="b">
        <v>1</v>
      </c>
      <c r="P44" s="106" t="s">
        <v>1010</v>
      </c>
      <c r="Q44" s="106" t="s">
        <v>728</v>
      </c>
      <c r="R44"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4" s="85" t="b">
        <v>1</v>
      </c>
      <c r="T44" s="85" t="str">
        <f>IF(LEN(Table_ErrorList[[#This Row],[Message Bar Display]])&gt;$U$5,"Too Long, Characters = "&amp;LEN(Table_ErrorList[[#This Row],[Message Bar Display]])," ")</f>
        <v xml:space="preserve"> </v>
      </c>
      <c r="U44" s="85" t="str">
        <f>IF(LEN(Table_ErrorList[[#This Row],[Details Explanation (Line '#1)]])&gt;$U$5,"Too Long, Characters = "&amp;LEN(Table_ErrorList[[#This Row],[Details Explanation (Line '#1)]])," ")</f>
        <v xml:space="preserve"> </v>
      </c>
      <c r="V44" s="85" t="str">
        <f>IF(LEN(Table_ErrorList[[#This Row],[Details Explanation (Line '#2)]])&gt;$U$5,"Too Long, Characters = "&amp;LEN(Table_ErrorList[[#This Row],[Details Explanation (Line '#2)]])," ")</f>
        <v xml:space="preserve"> </v>
      </c>
    </row>
    <row r="45" spans="1:22" ht="22.5" x14ac:dyDescent="0.25">
      <c r="A45" s="107" t="b">
        <f>AND(COUNTA(Meals_Receipts02)&gt;0,OR(Meals_Date02=0,Meals_Date02=Dropdown_NotSelectedValue,Meals_Date02=""))</f>
        <v>0</v>
      </c>
      <c r="B45" s="107">
        <f ca="1">IFERROR(INDIRECT(Table_ErrorList[[#This Row],[Attention To Named Range]]),"Error")</f>
        <v>0</v>
      </c>
      <c r="C45" s="102">
        <v>420</v>
      </c>
      <c r="D45" s="102" t="str">
        <f ca="1">IF(Table_ErrorList[[#This Row],[Manual Hierarchy]]="",CONCATENATE(TEXT(Table_ErrorList[[#This Row],[Section '#]],"00"),"-",TEXT(COUNTIF($E45:OFFSET(Table_ErrorList[[#Headers],[Section '#]],1,0,1,1),Table_ErrorList[[#This Row],[Section '#]]),"000")),Table_ErrorList[[#This Row],[Manual Hierarchy]])</f>
        <v>06-006</v>
      </c>
      <c r="E45" s="104">
        <v>6</v>
      </c>
      <c r="F45" s="104" t="str">
        <f>IFERROR(VLOOKUP(Table_ErrorList[[#This Row],[Section '#]],Table_SectionNames[],MATCH(Table_SectionNames[[#Headers],[Name]],Table_SectionNames[#Headers],0),FALSE),"Not found")</f>
        <v>Meals</v>
      </c>
      <c r="G45" s="104"/>
      <c r="H45" s="107" t="str">
        <f>IFERROR(VLOOKUP(Table_ErrorList[[#This Row],[Attention To Named Range]],Table_NamedRanges[],MATCH(Table_NamedRanges[[#Headers],[Reference Type]],Table_NamedRanges[#Headers],0),FALSE),"Error")</f>
        <v>Single Cell</v>
      </c>
      <c r="I45" s="102" t="s">
        <v>263</v>
      </c>
      <c r="J45" s="107" t="str">
        <f>IF(Table_ErrorList[[#This Row],[Manual Reference]]="",Table_ErrorList[[#This Row],[''Attention To'' Refence]],Table_ErrorList[[#This Row],[Manual Reference]])&amp;","</f>
        <v>$P$14,</v>
      </c>
      <c r="K45" s="107" t="str">
        <f>SUBSTITUTE(SUBSTITUTE(VLOOKUP(Table_ErrorList[[#This Row],[Attention To Named Range]],Table_NamedRanges[],MATCH(Table_NamedRanges[[#Headers],[Reference Text]],Table_NamedRanges[#Headers],0),FALSE),"=",""),"'Travel Expense Summary'!","")</f>
        <v>$P$14</v>
      </c>
      <c r="L45" s="107"/>
      <c r="M45" s="85" t="s">
        <v>273</v>
      </c>
      <c r="N45" s="85" t="s">
        <v>259</v>
      </c>
      <c r="O45" s="85" t="b">
        <v>1</v>
      </c>
      <c r="P45" s="106" t="s">
        <v>260</v>
      </c>
      <c r="Q45" s="106" t="s">
        <v>261</v>
      </c>
      <c r="R45"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5" s="85" t="b">
        <v>1</v>
      </c>
      <c r="T45" s="85" t="str">
        <f>IF(LEN(Table_ErrorList[[#This Row],[Message Bar Display]])&gt;$U$5,"Too Long, Characters = "&amp;LEN(Table_ErrorList[[#This Row],[Message Bar Display]])," ")</f>
        <v xml:space="preserve"> </v>
      </c>
      <c r="U45" s="85" t="str">
        <f>IF(LEN(Table_ErrorList[[#This Row],[Details Explanation (Line '#1)]])&gt;$U$5,"Too Long, Characters = "&amp;LEN(Table_ErrorList[[#This Row],[Details Explanation (Line '#1)]])," ")</f>
        <v xml:space="preserve"> </v>
      </c>
      <c r="V45" s="85" t="str">
        <f>IF(LEN(Table_ErrorList[[#This Row],[Details Explanation (Line '#2)]])&gt;$U$5,"Too Long, Characters = "&amp;LEN(Table_ErrorList[[#This Row],[Details Explanation (Line '#2)]])," ")</f>
        <v xml:space="preserve"> </v>
      </c>
    </row>
    <row r="46" spans="1:22" s="32" customFormat="1" ht="30" x14ac:dyDescent="0.25">
      <c r="A46" s="107" t="b">
        <f>IF(Meals_Date02&gt;0,NOT(AND(Field15_TravelStartDate&lt;=Meals_Date02,Field16_TravelEndDate&gt;=Meals_Date02)),FALSE)</f>
        <v>0</v>
      </c>
      <c r="B46" s="107">
        <f ca="1">IFERROR(INDIRECT(Table_ErrorList[[#This Row],[Attention To Named Range]]),"Error")</f>
        <v>0</v>
      </c>
      <c r="C46" s="102"/>
      <c r="D46" s="102" t="str">
        <f ca="1">IF(Table_ErrorList[[#This Row],[Manual Hierarchy]]="",CONCATENATE(TEXT(Table_ErrorList[[#This Row],[Section '#]],"00"),"-",TEXT(COUNTIF($E46:OFFSET(Table_ErrorList[[#Headers],[Section '#]],1,0,1,1),Table_ErrorList[[#This Row],[Section '#]]),"000")),Table_ErrorList[[#This Row],[Manual Hierarchy]])</f>
        <v>06-007</v>
      </c>
      <c r="E46" s="104">
        <v>6</v>
      </c>
      <c r="F46" s="104" t="str">
        <f>IFERROR(VLOOKUP(Table_ErrorList[[#This Row],[Section '#]],Table_SectionNames[],MATCH(Table_SectionNames[[#Headers],[Name]],Table_SectionNames[#Headers],0),FALSE),"Not found")</f>
        <v>Meals</v>
      </c>
      <c r="G46" s="104"/>
      <c r="H46" s="107" t="str">
        <f>IFERROR(VLOOKUP(Table_ErrorList[[#This Row],[Attention To Named Range]],Table_NamedRanges[],MATCH(Table_NamedRanges[[#Headers],[Reference Type]],Table_NamedRanges[#Headers],0),FALSE),"Error")</f>
        <v>Single Cell</v>
      </c>
      <c r="I46" s="102" t="s">
        <v>263</v>
      </c>
      <c r="J46" s="107" t="str">
        <f>IF(Table_ErrorList[[#This Row],[Manual Reference]]="",Table_ErrorList[[#This Row],[''Attention To'' Refence]],Table_ErrorList[[#This Row],[Manual Reference]])&amp;","</f>
        <v>$P$14,</v>
      </c>
      <c r="K46" s="107" t="str">
        <f>SUBSTITUTE(SUBSTITUTE(VLOOKUP(Table_ErrorList[[#This Row],[Attention To Named Range]],Table_NamedRanges[],MATCH(Table_NamedRanges[[#Headers],[Reference Text]],Table_NamedRanges[#Headers],0),FALSE),"=",""),"'Travel Expense Summary'!","")</f>
        <v>$P$14</v>
      </c>
      <c r="L46" s="107"/>
      <c r="M46" s="85" t="s">
        <v>1204</v>
      </c>
      <c r="N46" s="85" t="s">
        <v>1203</v>
      </c>
      <c r="O46" s="85" t="b">
        <v>1</v>
      </c>
      <c r="P46" s="106" t="s">
        <v>1201</v>
      </c>
      <c r="Q46" s="106" t="s">
        <v>1202</v>
      </c>
      <c r="R46" s="109" t="s">
        <v>1213</v>
      </c>
      <c r="S46" s="85" t="b">
        <v>1</v>
      </c>
      <c r="T46" s="107" t="str">
        <f>IF(LEN(Table_ErrorList[[#This Row],[Message Bar Display]])&gt;$U$5,"Too Long, Characters = "&amp;LEN(Table_ErrorList[[#This Row],[Message Bar Display]])," ")</f>
        <v xml:space="preserve"> </v>
      </c>
      <c r="U46" s="107" t="str">
        <f>IF(LEN(Table_ErrorList[[#This Row],[Details Explanation (Line '#1)]])&gt;$U$5,"Too Long, Characters = "&amp;LEN(Table_ErrorList[[#This Row],[Details Explanation (Line '#1)]])," ")</f>
        <v xml:space="preserve"> </v>
      </c>
      <c r="V46" s="107" t="str">
        <f>IF(LEN(Table_ErrorList[[#This Row],[Details Explanation (Line '#2)]])&gt;$U$5,"Too Long, Characters = "&amp;LEN(Table_ErrorList[[#This Row],[Details Explanation (Line '#2)]])," ")</f>
        <v xml:space="preserve"> </v>
      </c>
    </row>
    <row r="47" spans="1:22" ht="45" x14ac:dyDescent="0.25">
      <c r="A47" s="107" t="b">
        <f>AND(COUNTA(Meals_Date02)&gt;0,COUNTA(Meals_Receipts02)=0)</f>
        <v>0</v>
      </c>
      <c r="B47" s="114" t="str">
        <f ca="1">IFERROR(INDIRECT(Table_ErrorList[[#This Row],[Attention To Named Range]]),"Error")</f>
        <v>Error</v>
      </c>
      <c r="C47" s="103">
        <v>430</v>
      </c>
      <c r="D47" s="103" t="str">
        <f ca="1">IF(Table_ErrorList[[#This Row],[Manual Hierarchy]]="",CONCATENATE(TEXT(Table_ErrorList[[#This Row],[Section '#]],"00"),"-",TEXT(COUNTIF($E47:OFFSET(Table_ErrorList[[#Headers],[Section '#]],1,0,1,1),Table_ErrorList[[#This Row],[Section '#]]),"000")),Table_ErrorList[[#This Row],[Manual Hierarchy]])</f>
        <v>06-008</v>
      </c>
      <c r="E47" s="115">
        <v>6</v>
      </c>
      <c r="F47" s="115" t="str">
        <f>IFERROR(VLOOKUP(Table_ErrorList[[#This Row],[Section '#]],Table_SectionNames[],MATCH(Table_SectionNames[[#Headers],[Name]],Table_SectionNames[#Headers],0),FALSE),"Not found")</f>
        <v>Meals</v>
      </c>
      <c r="G47" s="115"/>
      <c r="H47" s="114" t="str">
        <f>IFERROR(VLOOKUP(Table_ErrorList[[#This Row],[Attention To Named Range]],Table_NamedRanges[],MATCH(Table_NamedRanges[[#Headers],[Reference Type]],Table_NamedRanges[#Headers],0),FALSE),"Error")</f>
        <v>Multiple (Cell or Range)</v>
      </c>
      <c r="I47" s="103" t="s">
        <v>282</v>
      </c>
      <c r="J47" s="114" t="str">
        <f>IF(Table_ErrorList[[#This Row],[Manual Reference]]="",Table_ErrorList[[#This Row],[''Attention To'' Refence]],Table_ErrorList[[#This Row],[Manual Reference]])&amp;","</f>
        <v>$R$14,$S$14,$T$14,</v>
      </c>
      <c r="K47" s="114" t="str">
        <f>SUBSTITUTE(SUBSTITUTE(VLOOKUP(Table_ErrorList[[#This Row],[Attention To Named Range]],Table_NamedRanges[],MATCH(Table_NamedRanges[[#Headers],[Reference Text]],Table_NamedRanges[#Headers],0),FALSE),"=",""),"'Travel Expense Summary'!","")</f>
        <v>$R$14,$S$14,$T$14</v>
      </c>
      <c r="L47" s="114"/>
      <c r="M47" s="105" t="s">
        <v>291</v>
      </c>
      <c r="N47" s="85" t="s">
        <v>300</v>
      </c>
      <c r="O47" s="85" t="b">
        <v>1</v>
      </c>
      <c r="P47" s="106" t="s">
        <v>1010</v>
      </c>
      <c r="Q47" s="106" t="s">
        <v>728</v>
      </c>
      <c r="R47"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7" s="85" t="b">
        <v>1</v>
      </c>
      <c r="T47" s="85" t="str">
        <f>IF(LEN(Table_ErrorList[[#This Row],[Message Bar Display]])&gt;$U$5,"Too Long, Characters = "&amp;LEN(Table_ErrorList[[#This Row],[Message Bar Display]])," ")</f>
        <v xml:space="preserve"> </v>
      </c>
      <c r="U47" s="85" t="str">
        <f>IF(LEN(Table_ErrorList[[#This Row],[Details Explanation (Line '#1)]])&gt;$U$5,"Too Long, Characters = "&amp;LEN(Table_ErrorList[[#This Row],[Details Explanation (Line '#1)]])," ")</f>
        <v xml:space="preserve"> </v>
      </c>
      <c r="V47" s="85" t="str">
        <f>IF(LEN(Table_ErrorList[[#This Row],[Details Explanation (Line '#2)]])&gt;$U$5,"Too Long, Characters = "&amp;LEN(Table_ErrorList[[#This Row],[Details Explanation (Line '#2)]])," ")</f>
        <v xml:space="preserve"> </v>
      </c>
    </row>
    <row r="48" spans="1:22" ht="22.5" x14ac:dyDescent="0.25">
      <c r="A48" s="107" t="b">
        <f>AND(COUNTA(Meals_Receipts03)&gt;0,OR(Meals_Date03=0,Meals_Date03=Dropdown_NotSelectedValue,Meals_Date03=""))</f>
        <v>0</v>
      </c>
      <c r="B48" s="107">
        <f ca="1">IFERROR(INDIRECT(Table_ErrorList[[#This Row],[Attention To Named Range]]),"Error")</f>
        <v>0</v>
      </c>
      <c r="C48" s="102">
        <v>440</v>
      </c>
      <c r="D48" s="102" t="str">
        <f ca="1">IF(Table_ErrorList[[#This Row],[Manual Hierarchy]]="",CONCATENATE(TEXT(Table_ErrorList[[#This Row],[Section '#]],"00"),"-",TEXT(COUNTIF($E48:OFFSET(Table_ErrorList[[#Headers],[Section '#]],1,0,1,1),Table_ErrorList[[#This Row],[Section '#]]),"000")),Table_ErrorList[[#This Row],[Manual Hierarchy]])</f>
        <v>06-009</v>
      </c>
      <c r="E48" s="104">
        <v>6</v>
      </c>
      <c r="F48" s="104" t="str">
        <f>IFERROR(VLOOKUP(Table_ErrorList[[#This Row],[Section '#]],Table_SectionNames[],MATCH(Table_SectionNames[[#Headers],[Name]],Table_SectionNames[#Headers],0),FALSE),"Not found")</f>
        <v>Meals</v>
      </c>
      <c r="G48" s="104"/>
      <c r="H48" s="107" t="str">
        <f>IFERROR(VLOOKUP(Table_ErrorList[[#This Row],[Attention To Named Range]],Table_NamedRanges[],MATCH(Table_NamedRanges[[#Headers],[Reference Type]],Table_NamedRanges[#Headers],0),FALSE),"Error")</f>
        <v>Single Cell</v>
      </c>
      <c r="I48" s="102" t="s">
        <v>264</v>
      </c>
      <c r="J48" s="107" t="str">
        <f>IF(Table_ErrorList[[#This Row],[Manual Reference]]="",Table_ErrorList[[#This Row],[''Attention To'' Refence]],Table_ErrorList[[#This Row],[Manual Reference]])&amp;","</f>
        <v>$P$15,</v>
      </c>
      <c r="K48" s="107" t="str">
        <f>SUBSTITUTE(SUBSTITUTE(VLOOKUP(Table_ErrorList[[#This Row],[Attention To Named Range]],Table_NamedRanges[],MATCH(Table_NamedRanges[[#Headers],[Reference Text]],Table_NamedRanges[#Headers],0),FALSE),"=",""),"'Travel Expense Summary'!","")</f>
        <v>$P$15</v>
      </c>
      <c r="L48" s="107"/>
      <c r="M48" s="85" t="s">
        <v>274</v>
      </c>
      <c r="N48" s="85" t="s">
        <v>259</v>
      </c>
      <c r="O48" s="85" t="b">
        <v>1</v>
      </c>
      <c r="P48" s="106" t="s">
        <v>260</v>
      </c>
      <c r="Q48" s="106" t="s">
        <v>261</v>
      </c>
      <c r="R48"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8" s="85" t="b">
        <v>1</v>
      </c>
      <c r="T48" s="85" t="str">
        <f>IF(LEN(Table_ErrorList[[#This Row],[Message Bar Display]])&gt;$U$5,"Too Long, Characters = "&amp;LEN(Table_ErrorList[[#This Row],[Message Bar Display]])," ")</f>
        <v xml:space="preserve"> </v>
      </c>
      <c r="U48" s="85" t="str">
        <f>IF(LEN(Table_ErrorList[[#This Row],[Details Explanation (Line '#1)]])&gt;$U$5,"Too Long, Characters = "&amp;LEN(Table_ErrorList[[#This Row],[Details Explanation (Line '#1)]])," ")</f>
        <v xml:space="preserve"> </v>
      </c>
      <c r="V48" s="85" t="str">
        <f>IF(LEN(Table_ErrorList[[#This Row],[Details Explanation (Line '#2)]])&gt;$U$5,"Too Long, Characters = "&amp;LEN(Table_ErrorList[[#This Row],[Details Explanation (Line '#2)]])," ")</f>
        <v xml:space="preserve"> </v>
      </c>
    </row>
    <row r="49" spans="1:22" s="32" customFormat="1" ht="30" x14ac:dyDescent="0.25">
      <c r="A49" s="107" t="b">
        <f>IF(Meals_Date03&gt;0,NOT(AND(Field15_TravelStartDate&lt;=Meals_Date03,Field16_TravelEndDate&gt;=Meals_Date03)),FALSE)</f>
        <v>0</v>
      </c>
      <c r="B49" s="107">
        <f ca="1">IFERROR(INDIRECT(Table_ErrorList[[#This Row],[Attention To Named Range]]),"Error")</f>
        <v>0</v>
      </c>
      <c r="C49" s="102"/>
      <c r="D49" s="102" t="str">
        <f ca="1">IF(Table_ErrorList[[#This Row],[Manual Hierarchy]]="",CONCATENATE(TEXT(Table_ErrorList[[#This Row],[Section '#]],"00"),"-",TEXT(COUNTIF($E49:OFFSET(Table_ErrorList[[#Headers],[Section '#]],1,0,1,1),Table_ErrorList[[#This Row],[Section '#]]),"000")),Table_ErrorList[[#This Row],[Manual Hierarchy]])</f>
        <v>06-010</v>
      </c>
      <c r="E49" s="104">
        <v>6</v>
      </c>
      <c r="F49" s="104" t="str">
        <f>IFERROR(VLOOKUP(Table_ErrorList[[#This Row],[Section '#]],Table_SectionNames[],MATCH(Table_SectionNames[[#Headers],[Name]],Table_SectionNames[#Headers],0),FALSE),"Not found")</f>
        <v>Meals</v>
      </c>
      <c r="G49" s="104"/>
      <c r="H49" s="107" t="str">
        <f>IFERROR(VLOOKUP(Table_ErrorList[[#This Row],[Attention To Named Range]],Table_NamedRanges[],MATCH(Table_NamedRanges[[#Headers],[Reference Type]],Table_NamedRanges[#Headers],0),FALSE),"Error")</f>
        <v>Single Cell</v>
      </c>
      <c r="I49" s="102" t="s">
        <v>264</v>
      </c>
      <c r="J49" s="107" t="str">
        <f>IF(Table_ErrorList[[#This Row],[Manual Reference]]="",Table_ErrorList[[#This Row],[''Attention To'' Refence]],Table_ErrorList[[#This Row],[Manual Reference]])&amp;","</f>
        <v>$P$15,</v>
      </c>
      <c r="K49" s="107" t="str">
        <f>SUBSTITUTE(SUBSTITUTE(VLOOKUP(Table_ErrorList[[#This Row],[Attention To Named Range]],Table_NamedRanges[],MATCH(Table_NamedRanges[[#Headers],[Reference Text]],Table_NamedRanges[#Headers],0),FALSE),"=",""),"'Travel Expense Summary'!","")</f>
        <v>$P$15</v>
      </c>
      <c r="L49" s="107"/>
      <c r="M49" s="85" t="s">
        <v>1205</v>
      </c>
      <c r="N49" s="85" t="s">
        <v>1203</v>
      </c>
      <c r="O49" s="85" t="b">
        <v>1</v>
      </c>
      <c r="P49" s="106" t="s">
        <v>1201</v>
      </c>
      <c r="Q49" s="106" t="s">
        <v>1202</v>
      </c>
      <c r="R49" s="109" t="s">
        <v>1213</v>
      </c>
      <c r="S49" s="85" t="b">
        <v>1</v>
      </c>
      <c r="T49" s="107" t="str">
        <f>IF(LEN(Table_ErrorList[[#This Row],[Message Bar Display]])&gt;$U$5,"Too Long, Characters = "&amp;LEN(Table_ErrorList[[#This Row],[Message Bar Display]])," ")</f>
        <v xml:space="preserve"> </v>
      </c>
      <c r="U49" s="107" t="str">
        <f>IF(LEN(Table_ErrorList[[#This Row],[Details Explanation (Line '#1)]])&gt;$U$5,"Too Long, Characters = "&amp;LEN(Table_ErrorList[[#This Row],[Details Explanation (Line '#1)]])," ")</f>
        <v xml:space="preserve"> </v>
      </c>
      <c r="V49" s="107" t="str">
        <f>IF(LEN(Table_ErrorList[[#This Row],[Details Explanation (Line '#2)]])&gt;$U$5,"Too Long, Characters = "&amp;LEN(Table_ErrorList[[#This Row],[Details Explanation (Line '#2)]])," ")</f>
        <v xml:space="preserve"> </v>
      </c>
    </row>
    <row r="50" spans="1:22" ht="45" x14ac:dyDescent="0.25">
      <c r="A50" s="107" t="b">
        <f>AND(COUNTA(Meals_Date03)&gt;0,COUNTA(Meals_Receipts03)=0)</f>
        <v>0</v>
      </c>
      <c r="B50" s="114" t="str">
        <f ca="1">IFERROR(INDIRECT(Table_ErrorList[[#This Row],[Attention To Named Range]]),"Error")</f>
        <v>Error</v>
      </c>
      <c r="C50" s="103">
        <v>450</v>
      </c>
      <c r="D50" s="103" t="str">
        <f ca="1">IF(Table_ErrorList[[#This Row],[Manual Hierarchy]]="",CONCATENATE(TEXT(Table_ErrorList[[#This Row],[Section '#]],"00"),"-",TEXT(COUNTIF($E50:OFFSET(Table_ErrorList[[#Headers],[Section '#]],1,0,1,1),Table_ErrorList[[#This Row],[Section '#]]),"000")),Table_ErrorList[[#This Row],[Manual Hierarchy]])</f>
        <v>06-011</v>
      </c>
      <c r="E50" s="115">
        <v>6</v>
      </c>
      <c r="F50" s="115" t="str">
        <f>IFERROR(VLOOKUP(Table_ErrorList[[#This Row],[Section '#]],Table_SectionNames[],MATCH(Table_SectionNames[[#Headers],[Name]],Table_SectionNames[#Headers],0),FALSE),"Not found")</f>
        <v>Meals</v>
      </c>
      <c r="G50" s="115"/>
      <c r="H50" s="114" t="str">
        <f>IFERROR(VLOOKUP(Table_ErrorList[[#This Row],[Attention To Named Range]],Table_NamedRanges[],MATCH(Table_NamedRanges[[#Headers],[Reference Type]],Table_NamedRanges[#Headers],0),FALSE),"Error")</f>
        <v>Multiple (Cell or Range)</v>
      </c>
      <c r="I50" s="103" t="s">
        <v>283</v>
      </c>
      <c r="J50" s="114" t="str">
        <f>IF(Table_ErrorList[[#This Row],[Manual Reference]]="",Table_ErrorList[[#This Row],[''Attention To'' Refence]],Table_ErrorList[[#This Row],[Manual Reference]])&amp;","</f>
        <v>$R$15,$S$15,$T$15,</v>
      </c>
      <c r="K50" s="114" t="str">
        <f>SUBSTITUTE(SUBSTITUTE(VLOOKUP(Table_ErrorList[[#This Row],[Attention To Named Range]],Table_NamedRanges[],MATCH(Table_NamedRanges[[#Headers],[Reference Text]],Table_NamedRanges[#Headers],0),FALSE),"=",""),"'Travel Expense Summary'!","")</f>
        <v>$R$15,$S$15,$T$15</v>
      </c>
      <c r="L50" s="114"/>
      <c r="M50" s="105" t="s">
        <v>297</v>
      </c>
      <c r="N50" s="85" t="s">
        <v>300</v>
      </c>
      <c r="O50" s="85" t="b">
        <v>1</v>
      </c>
      <c r="P50" s="106" t="s">
        <v>1010</v>
      </c>
      <c r="Q50" s="106" t="s">
        <v>728</v>
      </c>
      <c r="R50"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0" s="85" t="b">
        <v>1</v>
      </c>
      <c r="T50" s="85" t="str">
        <f>IF(LEN(Table_ErrorList[[#This Row],[Message Bar Display]])&gt;$U$5,"Too Long, Characters = "&amp;LEN(Table_ErrorList[[#This Row],[Message Bar Display]])," ")</f>
        <v xml:space="preserve"> </v>
      </c>
      <c r="U50" s="85" t="str">
        <f>IF(LEN(Table_ErrorList[[#This Row],[Details Explanation (Line '#1)]])&gt;$U$5,"Too Long, Characters = "&amp;LEN(Table_ErrorList[[#This Row],[Details Explanation (Line '#1)]])," ")</f>
        <v xml:space="preserve"> </v>
      </c>
      <c r="V50" s="85" t="str">
        <f>IF(LEN(Table_ErrorList[[#This Row],[Details Explanation (Line '#2)]])&gt;$U$5,"Too Long, Characters = "&amp;LEN(Table_ErrorList[[#This Row],[Details Explanation (Line '#2)]])," ")</f>
        <v xml:space="preserve"> </v>
      </c>
    </row>
    <row r="51" spans="1:22" ht="22.5" x14ac:dyDescent="0.25">
      <c r="A51" s="107" t="b">
        <f>AND(COUNTA(Meals_Receipts04)&gt;0,OR(Meals_Date04=0,Meals_Date04=Dropdown_NotSelectedValue,Meals_Date04=""))</f>
        <v>0</v>
      </c>
      <c r="B51" s="107">
        <f ca="1">IFERROR(INDIRECT(Table_ErrorList[[#This Row],[Attention To Named Range]]),"Error")</f>
        <v>0</v>
      </c>
      <c r="C51" s="102">
        <v>460</v>
      </c>
      <c r="D51" s="102" t="str">
        <f ca="1">IF(Table_ErrorList[[#This Row],[Manual Hierarchy]]="",CONCATENATE(TEXT(Table_ErrorList[[#This Row],[Section '#]],"00"),"-",TEXT(COUNTIF($E51:OFFSET(Table_ErrorList[[#Headers],[Section '#]],1,0,1,1),Table_ErrorList[[#This Row],[Section '#]]),"000")),Table_ErrorList[[#This Row],[Manual Hierarchy]])</f>
        <v>06-012</v>
      </c>
      <c r="E51" s="104">
        <v>6</v>
      </c>
      <c r="F51" s="104" t="str">
        <f>IFERROR(VLOOKUP(Table_ErrorList[[#This Row],[Section '#]],Table_SectionNames[],MATCH(Table_SectionNames[[#Headers],[Name]],Table_SectionNames[#Headers],0),FALSE),"Not found")</f>
        <v>Meals</v>
      </c>
      <c r="G51" s="104"/>
      <c r="H51" s="107" t="str">
        <f>IFERROR(VLOOKUP(Table_ErrorList[[#This Row],[Attention To Named Range]],Table_NamedRanges[],MATCH(Table_NamedRanges[[#Headers],[Reference Type]],Table_NamedRanges[#Headers],0),FALSE),"Error")</f>
        <v>Single Cell</v>
      </c>
      <c r="I51" s="102" t="s">
        <v>265</v>
      </c>
      <c r="J51" s="107" t="str">
        <f>IF(Table_ErrorList[[#This Row],[Manual Reference]]="",Table_ErrorList[[#This Row],[''Attention To'' Refence]],Table_ErrorList[[#This Row],[Manual Reference]])&amp;","</f>
        <v>$P$16,</v>
      </c>
      <c r="K51" s="107" t="str">
        <f>SUBSTITUTE(SUBSTITUTE(VLOOKUP(Table_ErrorList[[#This Row],[Attention To Named Range]],Table_NamedRanges[],MATCH(Table_NamedRanges[[#Headers],[Reference Text]],Table_NamedRanges[#Headers],0),FALSE),"=",""),"'Travel Expense Summary'!","")</f>
        <v>$P$16</v>
      </c>
      <c r="L51" s="107"/>
      <c r="M51" s="85" t="s">
        <v>275</v>
      </c>
      <c r="N51" s="85" t="s">
        <v>259</v>
      </c>
      <c r="O51" s="85" t="b">
        <v>1</v>
      </c>
      <c r="P51" s="106" t="s">
        <v>260</v>
      </c>
      <c r="Q51" s="106" t="s">
        <v>261</v>
      </c>
      <c r="R51"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1" s="85" t="b">
        <v>1</v>
      </c>
      <c r="T51" s="85" t="str">
        <f>IF(LEN(Table_ErrorList[[#This Row],[Message Bar Display]])&gt;$U$5,"Too Long, Characters = "&amp;LEN(Table_ErrorList[[#This Row],[Message Bar Display]])," ")</f>
        <v xml:space="preserve"> </v>
      </c>
      <c r="U51" s="85" t="str">
        <f>IF(LEN(Table_ErrorList[[#This Row],[Details Explanation (Line '#1)]])&gt;$U$5,"Too Long, Characters = "&amp;LEN(Table_ErrorList[[#This Row],[Details Explanation (Line '#1)]])," ")</f>
        <v xml:space="preserve"> </v>
      </c>
      <c r="V51" s="85" t="str">
        <f>IF(LEN(Table_ErrorList[[#This Row],[Details Explanation (Line '#2)]])&gt;$U$5,"Too Long, Characters = "&amp;LEN(Table_ErrorList[[#This Row],[Details Explanation (Line '#2)]])," ")</f>
        <v xml:space="preserve"> </v>
      </c>
    </row>
    <row r="52" spans="1:22" s="32" customFormat="1" ht="30" x14ac:dyDescent="0.25">
      <c r="A52" s="107" t="b">
        <f>IF(Meals_Date04&gt;0,NOT(AND(Field15_TravelStartDate&lt;=Meals_Date04,Field16_TravelEndDate&gt;=Meals_Date04)),FALSE)</f>
        <v>0</v>
      </c>
      <c r="B52" s="107">
        <f ca="1">IFERROR(INDIRECT(Table_ErrorList[[#This Row],[Attention To Named Range]]),"Error")</f>
        <v>0</v>
      </c>
      <c r="C52" s="102">
        <v>461</v>
      </c>
      <c r="D52" s="102" t="str">
        <f ca="1">IF(Table_ErrorList[[#This Row],[Manual Hierarchy]]="",CONCATENATE(TEXT(Table_ErrorList[[#This Row],[Section '#]],"00"),"-",TEXT(COUNTIF($E52:OFFSET(Table_ErrorList[[#Headers],[Section '#]],1,0,1,1),Table_ErrorList[[#This Row],[Section '#]]),"000")),Table_ErrorList[[#This Row],[Manual Hierarchy]])</f>
        <v>06-013</v>
      </c>
      <c r="E52" s="104">
        <v>6</v>
      </c>
      <c r="F52" s="104" t="str">
        <f>IFERROR(VLOOKUP(Table_ErrorList[[#This Row],[Section '#]],Table_SectionNames[],MATCH(Table_SectionNames[[#Headers],[Name]],Table_SectionNames[#Headers],0),FALSE),"Not found")</f>
        <v>Meals</v>
      </c>
      <c r="G52" s="104"/>
      <c r="H52" s="107" t="str">
        <f>IFERROR(VLOOKUP(Table_ErrorList[[#This Row],[Attention To Named Range]],Table_NamedRanges[],MATCH(Table_NamedRanges[[#Headers],[Reference Type]],Table_NamedRanges[#Headers],0),FALSE),"Error")</f>
        <v>Single Cell</v>
      </c>
      <c r="I52" s="102" t="s">
        <v>265</v>
      </c>
      <c r="J52" s="107" t="str">
        <f>IF(Table_ErrorList[[#This Row],[Manual Reference]]="",Table_ErrorList[[#This Row],[''Attention To'' Refence]],Table_ErrorList[[#This Row],[Manual Reference]])&amp;","</f>
        <v>$P$16,</v>
      </c>
      <c r="K52" s="107" t="str">
        <f>SUBSTITUTE(SUBSTITUTE(VLOOKUP(Table_ErrorList[[#This Row],[Attention To Named Range]],Table_NamedRanges[],MATCH(Table_NamedRanges[[#Headers],[Reference Text]],Table_NamedRanges[#Headers],0),FALSE),"=",""),"'Travel Expense Summary'!","")</f>
        <v>$P$16</v>
      </c>
      <c r="L52" s="107"/>
      <c r="M52" s="85" t="s">
        <v>1206</v>
      </c>
      <c r="N52" s="85" t="s">
        <v>1203</v>
      </c>
      <c r="O52" s="85" t="b">
        <v>1</v>
      </c>
      <c r="P52" s="106" t="s">
        <v>1201</v>
      </c>
      <c r="Q52" s="106" t="s">
        <v>1202</v>
      </c>
      <c r="R52" s="109" t="s">
        <v>1213</v>
      </c>
      <c r="S52" s="85" t="b">
        <v>1</v>
      </c>
      <c r="T52" s="107" t="str">
        <f>IF(LEN(Table_ErrorList[[#This Row],[Message Bar Display]])&gt;$U$5,"Too Long, Characters = "&amp;LEN(Table_ErrorList[[#This Row],[Message Bar Display]])," ")</f>
        <v xml:space="preserve"> </v>
      </c>
      <c r="U52" s="107" t="str">
        <f>IF(LEN(Table_ErrorList[[#This Row],[Details Explanation (Line '#1)]])&gt;$U$5,"Too Long, Characters = "&amp;LEN(Table_ErrorList[[#This Row],[Details Explanation (Line '#1)]])," ")</f>
        <v xml:space="preserve"> </v>
      </c>
      <c r="V52" s="107" t="str">
        <f>IF(LEN(Table_ErrorList[[#This Row],[Details Explanation (Line '#2)]])&gt;$U$5,"Too Long, Characters = "&amp;LEN(Table_ErrorList[[#This Row],[Details Explanation (Line '#2)]])," ")</f>
        <v xml:space="preserve"> </v>
      </c>
    </row>
    <row r="53" spans="1:22" ht="45" x14ac:dyDescent="0.25">
      <c r="A53" s="107" t="b">
        <f>AND(COUNTA(Meals_Date04)&gt;0,COUNTA(Meals_Receipts04)=0)</f>
        <v>0</v>
      </c>
      <c r="B53" s="114" t="str">
        <f ca="1">IFERROR(INDIRECT(Table_ErrorList[[#This Row],[Attention To Named Range]]),"Error")</f>
        <v>Error</v>
      </c>
      <c r="C53" s="103">
        <v>470</v>
      </c>
      <c r="D53" s="103" t="str">
        <f ca="1">IF(Table_ErrorList[[#This Row],[Manual Hierarchy]]="",CONCATENATE(TEXT(Table_ErrorList[[#This Row],[Section '#]],"00"),"-",TEXT(COUNTIF($E53:OFFSET(Table_ErrorList[[#Headers],[Section '#]],1,0,1,1),Table_ErrorList[[#This Row],[Section '#]]),"000")),Table_ErrorList[[#This Row],[Manual Hierarchy]])</f>
        <v>06-014</v>
      </c>
      <c r="E53" s="115">
        <v>6</v>
      </c>
      <c r="F53" s="115" t="str">
        <f>IFERROR(VLOOKUP(Table_ErrorList[[#This Row],[Section '#]],Table_SectionNames[],MATCH(Table_SectionNames[[#Headers],[Name]],Table_SectionNames[#Headers],0),FALSE),"Not found")</f>
        <v>Meals</v>
      </c>
      <c r="G53" s="115"/>
      <c r="H53" s="114" t="str">
        <f>IFERROR(VLOOKUP(Table_ErrorList[[#This Row],[Attention To Named Range]],Table_NamedRanges[],MATCH(Table_NamedRanges[[#Headers],[Reference Type]],Table_NamedRanges[#Headers],0),FALSE),"Error")</f>
        <v>Multiple (Cell or Range)</v>
      </c>
      <c r="I53" s="103" t="s">
        <v>284</v>
      </c>
      <c r="J53" s="114" t="str">
        <f>IF(Table_ErrorList[[#This Row],[Manual Reference]]="",Table_ErrorList[[#This Row],[''Attention To'' Refence]],Table_ErrorList[[#This Row],[Manual Reference]])&amp;","</f>
        <v>$R$16,$S$16,$T$16,</v>
      </c>
      <c r="K53" s="114" t="str">
        <f>SUBSTITUTE(SUBSTITUTE(VLOOKUP(Table_ErrorList[[#This Row],[Attention To Named Range]],Table_NamedRanges[],MATCH(Table_NamedRanges[[#Headers],[Reference Text]],Table_NamedRanges[#Headers],0),FALSE),"=",""),"'Travel Expense Summary'!","")</f>
        <v>$R$16,$S$16,$T$16</v>
      </c>
      <c r="L53" s="114"/>
      <c r="M53" s="105" t="s">
        <v>292</v>
      </c>
      <c r="N53" s="85" t="s">
        <v>300</v>
      </c>
      <c r="O53" s="85" t="b">
        <v>1</v>
      </c>
      <c r="P53" s="106" t="s">
        <v>1010</v>
      </c>
      <c r="Q53" s="106" t="s">
        <v>728</v>
      </c>
      <c r="R53"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3" s="85" t="b">
        <v>1</v>
      </c>
      <c r="T53" s="85" t="str">
        <f>IF(LEN(Table_ErrorList[[#This Row],[Message Bar Display]])&gt;$U$5,"Too Long, Characters = "&amp;LEN(Table_ErrorList[[#This Row],[Message Bar Display]])," ")</f>
        <v xml:space="preserve"> </v>
      </c>
      <c r="U53" s="85" t="str">
        <f>IF(LEN(Table_ErrorList[[#This Row],[Details Explanation (Line '#1)]])&gt;$U$5,"Too Long, Characters = "&amp;LEN(Table_ErrorList[[#This Row],[Details Explanation (Line '#1)]])," ")</f>
        <v xml:space="preserve"> </v>
      </c>
      <c r="V53" s="85" t="str">
        <f>IF(LEN(Table_ErrorList[[#This Row],[Details Explanation (Line '#2)]])&gt;$U$5,"Too Long, Characters = "&amp;LEN(Table_ErrorList[[#This Row],[Details Explanation (Line '#2)]])," ")</f>
        <v xml:space="preserve"> </v>
      </c>
    </row>
    <row r="54" spans="1:22" ht="22.5" x14ac:dyDescent="0.25">
      <c r="A54" s="107" t="b">
        <f>AND(COUNTA(Meals_Receipts05)&gt;0,OR(Meals_Date05=0,Meals_Date05=Dropdown_NotSelectedValue,Meals_Date05=""))</f>
        <v>0</v>
      </c>
      <c r="B54" s="107">
        <f ca="1">IFERROR(INDIRECT(Table_ErrorList[[#This Row],[Attention To Named Range]]),"Error")</f>
        <v>0</v>
      </c>
      <c r="C54" s="102">
        <v>480</v>
      </c>
      <c r="D54" s="102" t="str">
        <f ca="1">IF(Table_ErrorList[[#This Row],[Manual Hierarchy]]="",CONCATENATE(TEXT(Table_ErrorList[[#This Row],[Section '#]],"00"),"-",TEXT(COUNTIF($E54:OFFSET(Table_ErrorList[[#Headers],[Section '#]],1,0,1,1),Table_ErrorList[[#This Row],[Section '#]]),"000")),Table_ErrorList[[#This Row],[Manual Hierarchy]])</f>
        <v>06-015</v>
      </c>
      <c r="E54" s="104">
        <v>6</v>
      </c>
      <c r="F54" s="104" t="str">
        <f>IFERROR(VLOOKUP(Table_ErrorList[[#This Row],[Section '#]],Table_SectionNames[],MATCH(Table_SectionNames[[#Headers],[Name]],Table_SectionNames[#Headers],0),FALSE),"Not found")</f>
        <v>Meals</v>
      </c>
      <c r="G54" s="104"/>
      <c r="H54" s="107" t="str">
        <f>IFERROR(VLOOKUP(Table_ErrorList[[#This Row],[Attention To Named Range]],Table_NamedRanges[],MATCH(Table_NamedRanges[[#Headers],[Reference Type]],Table_NamedRanges[#Headers],0),FALSE),"Error")</f>
        <v>Single Cell</v>
      </c>
      <c r="I54" s="102" t="s">
        <v>266</v>
      </c>
      <c r="J54" s="107" t="str">
        <f>IF(Table_ErrorList[[#This Row],[Manual Reference]]="",Table_ErrorList[[#This Row],[''Attention To'' Refence]],Table_ErrorList[[#This Row],[Manual Reference]])&amp;","</f>
        <v>$P$17,</v>
      </c>
      <c r="K54" s="107" t="str">
        <f>SUBSTITUTE(SUBSTITUTE(VLOOKUP(Table_ErrorList[[#This Row],[Attention To Named Range]],Table_NamedRanges[],MATCH(Table_NamedRanges[[#Headers],[Reference Text]],Table_NamedRanges[#Headers],0),FALSE),"=",""),"'Travel Expense Summary'!","")</f>
        <v>$P$17</v>
      </c>
      <c r="L54" s="107"/>
      <c r="M54" s="85" t="s">
        <v>276</v>
      </c>
      <c r="N54" s="85" t="s">
        <v>259</v>
      </c>
      <c r="O54" s="85" t="b">
        <v>1</v>
      </c>
      <c r="P54" s="106" t="s">
        <v>260</v>
      </c>
      <c r="Q54" s="106" t="s">
        <v>261</v>
      </c>
      <c r="R54"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4" s="85" t="b">
        <v>1</v>
      </c>
      <c r="T54" s="85" t="str">
        <f>IF(LEN(Table_ErrorList[[#This Row],[Message Bar Display]])&gt;$U$5,"Too Long, Characters = "&amp;LEN(Table_ErrorList[[#This Row],[Message Bar Display]])," ")</f>
        <v xml:space="preserve"> </v>
      </c>
      <c r="U54" s="85" t="str">
        <f>IF(LEN(Table_ErrorList[[#This Row],[Details Explanation (Line '#1)]])&gt;$U$5,"Too Long, Characters = "&amp;LEN(Table_ErrorList[[#This Row],[Details Explanation (Line '#1)]])," ")</f>
        <v xml:space="preserve"> </v>
      </c>
      <c r="V54" s="85" t="str">
        <f>IF(LEN(Table_ErrorList[[#This Row],[Details Explanation (Line '#2)]])&gt;$U$5,"Too Long, Characters = "&amp;LEN(Table_ErrorList[[#This Row],[Details Explanation (Line '#2)]])," ")</f>
        <v xml:space="preserve"> </v>
      </c>
    </row>
    <row r="55" spans="1:22" s="32" customFormat="1" ht="30" x14ac:dyDescent="0.25">
      <c r="A55" s="107" t="b">
        <f>IF(Meals_Date05&gt;0,NOT(AND(Field15_TravelStartDate&lt;=Meals_Date05,Field16_TravelEndDate&gt;=Meals_Date05)),FALSE)</f>
        <v>0</v>
      </c>
      <c r="B55" s="107">
        <f ca="1">IFERROR(INDIRECT(Table_ErrorList[[#This Row],[Attention To Named Range]]),"Error")</f>
        <v>0</v>
      </c>
      <c r="C55" s="102">
        <v>481</v>
      </c>
      <c r="D55" s="102" t="str">
        <f ca="1">IF(Table_ErrorList[[#This Row],[Manual Hierarchy]]="",CONCATENATE(TEXT(Table_ErrorList[[#This Row],[Section '#]],"00"),"-",TEXT(COUNTIF($E55:OFFSET(Table_ErrorList[[#Headers],[Section '#]],1,0,1,1),Table_ErrorList[[#This Row],[Section '#]]),"000")),Table_ErrorList[[#This Row],[Manual Hierarchy]])</f>
        <v>06-016</v>
      </c>
      <c r="E55" s="104">
        <v>6</v>
      </c>
      <c r="F55" s="104" t="str">
        <f>IFERROR(VLOOKUP(Table_ErrorList[[#This Row],[Section '#]],Table_SectionNames[],MATCH(Table_SectionNames[[#Headers],[Name]],Table_SectionNames[#Headers],0),FALSE),"Not found")</f>
        <v>Meals</v>
      </c>
      <c r="G55" s="104"/>
      <c r="H55" s="107" t="str">
        <f>IFERROR(VLOOKUP(Table_ErrorList[[#This Row],[Attention To Named Range]],Table_NamedRanges[],MATCH(Table_NamedRanges[[#Headers],[Reference Type]],Table_NamedRanges[#Headers],0),FALSE),"Error")</f>
        <v>Single Cell</v>
      </c>
      <c r="I55" s="102" t="s">
        <v>266</v>
      </c>
      <c r="J55" s="107" t="str">
        <f>IF(Table_ErrorList[[#This Row],[Manual Reference]]="",Table_ErrorList[[#This Row],[''Attention To'' Refence]],Table_ErrorList[[#This Row],[Manual Reference]])&amp;","</f>
        <v>$P$17,</v>
      </c>
      <c r="K55" s="107" t="str">
        <f>SUBSTITUTE(SUBSTITUTE(VLOOKUP(Table_ErrorList[[#This Row],[Attention To Named Range]],Table_NamedRanges[],MATCH(Table_NamedRanges[[#Headers],[Reference Text]],Table_NamedRanges[#Headers],0),FALSE),"=",""),"'Travel Expense Summary'!","")</f>
        <v>$P$17</v>
      </c>
      <c r="L55" s="107"/>
      <c r="M55" s="85" t="s">
        <v>1207</v>
      </c>
      <c r="N55" s="85" t="s">
        <v>1203</v>
      </c>
      <c r="O55" s="85" t="b">
        <v>1</v>
      </c>
      <c r="P55" s="106" t="s">
        <v>1201</v>
      </c>
      <c r="Q55" s="106" t="s">
        <v>1202</v>
      </c>
      <c r="R55" s="109" t="s">
        <v>1213</v>
      </c>
      <c r="S55" s="85" t="b">
        <v>1</v>
      </c>
      <c r="T55" s="107" t="str">
        <f>IF(LEN(Table_ErrorList[[#This Row],[Message Bar Display]])&gt;$U$5,"Too Long, Characters = "&amp;LEN(Table_ErrorList[[#This Row],[Message Bar Display]])," ")</f>
        <v xml:space="preserve"> </v>
      </c>
      <c r="U55" s="107" t="str">
        <f>IF(LEN(Table_ErrorList[[#This Row],[Details Explanation (Line '#1)]])&gt;$U$5,"Too Long, Characters = "&amp;LEN(Table_ErrorList[[#This Row],[Details Explanation (Line '#1)]])," ")</f>
        <v xml:space="preserve"> </v>
      </c>
      <c r="V55" s="107" t="str">
        <f>IF(LEN(Table_ErrorList[[#This Row],[Details Explanation (Line '#2)]])&gt;$U$5,"Too Long, Characters = "&amp;LEN(Table_ErrorList[[#This Row],[Details Explanation (Line '#2)]])," ")</f>
        <v xml:space="preserve"> </v>
      </c>
    </row>
    <row r="56" spans="1:22" ht="45" x14ac:dyDescent="0.25">
      <c r="A56" s="107" t="b">
        <f>AND(COUNTA(Meals_Date05)&gt;0,COUNTA(Meals_Receipts05)=0)</f>
        <v>0</v>
      </c>
      <c r="B56" s="114" t="str">
        <f ca="1">IFERROR(INDIRECT(Table_ErrorList[[#This Row],[Attention To Named Range]]),"Error")</f>
        <v>Error</v>
      </c>
      <c r="C56" s="103">
        <v>490</v>
      </c>
      <c r="D56" s="103" t="str">
        <f ca="1">IF(Table_ErrorList[[#This Row],[Manual Hierarchy]]="",CONCATENATE(TEXT(Table_ErrorList[[#This Row],[Section '#]],"00"),"-",TEXT(COUNTIF($E56:OFFSET(Table_ErrorList[[#Headers],[Section '#]],1,0,1,1),Table_ErrorList[[#This Row],[Section '#]]),"000")),Table_ErrorList[[#This Row],[Manual Hierarchy]])</f>
        <v>06-017</v>
      </c>
      <c r="E56" s="115">
        <v>6</v>
      </c>
      <c r="F56" s="115" t="str">
        <f>IFERROR(VLOOKUP(Table_ErrorList[[#This Row],[Section '#]],Table_SectionNames[],MATCH(Table_SectionNames[[#Headers],[Name]],Table_SectionNames[#Headers],0),FALSE),"Not found")</f>
        <v>Meals</v>
      </c>
      <c r="G56" s="115"/>
      <c r="H56" s="114" t="str">
        <f>IFERROR(VLOOKUP(Table_ErrorList[[#This Row],[Attention To Named Range]],Table_NamedRanges[],MATCH(Table_NamedRanges[[#Headers],[Reference Type]],Table_NamedRanges[#Headers],0),FALSE),"Error")</f>
        <v>Multiple (Cell or Range)</v>
      </c>
      <c r="I56" s="103" t="s">
        <v>285</v>
      </c>
      <c r="J56" s="114" t="str">
        <f>IF(Table_ErrorList[[#This Row],[Manual Reference]]="",Table_ErrorList[[#This Row],[''Attention To'' Refence]],Table_ErrorList[[#This Row],[Manual Reference]])&amp;","</f>
        <v>$R$17,$S$17,$T$17,</v>
      </c>
      <c r="K56" s="114" t="str">
        <f>SUBSTITUTE(SUBSTITUTE(VLOOKUP(Table_ErrorList[[#This Row],[Attention To Named Range]],Table_NamedRanges[],MATCH(Table_NamedRanges[[#Headers],[Reference Text]],Table_NamedRanges[#Headers],0),FALSE),"=",""),"'Travel Expense Summary'!","")</f>
        <v>$R$17,$S$17,$T$17</v>
      </c>
      <c r="L56" s="114"/>
      <c r="M56" s="105" t="s">
        <v>298</v>
      </c>
      <c r="N56" s="85" t="s">
        <v>300</v>
      </c>
      <c r="O56" s="85" t="b">
        <v>1</v>
      </c>
      <c r="P56" s="106" t="s">
        <v>1010</v>
      </c>
      <c r="Q56" s="106" t="s">
        <v>728</v>
      </c>
      <c r="R56"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6" s="85" t="b">
        <v>1</v>
      </c>
      <c r="T56" s="85" t="str">
        <f>IF(LEN(Table_ErrorList[[#This Row],[Message Bar Display]])&gt;$U$5,"Too Long, Characters = "&amp;LEN(Table_ErrorList[[#This Row],[Message Bar Display]])," ")</f>
        <v xml:space="preserve"> </v>
      </c>
      <c r="U56" s="85" t="str">
        <f>IF(LEN(Table_ErrorList[[#This Row],[Details Explanation (Line '#1)]])&gt;$U$5,"Too Long, Characters = "&amp;LEN(Table_ErrorList[[#This Row],[Details Explanation (Line '#1)]])," ")</f>
        <v xml:space="preserve"> </v>
      </c>
      <c r="V56" s="85" t="str">
        <f>IF(LEN(Table_ErrorList[[#This Row],[Details Explanation (Line '#2)]])&gt;$U$5,"Too Long, Characters = "&amp;LEN(Table_ErrorList[[#This Row],[Details Explanation (Line '#2)]])," ")</f>
        <v xml:space="preserve"> </v>
      </c>
    </row>
    <row r="57" spans="1:22" ht="22.5" x14ac:dyDescent="0.25">
      <c r="A57" s="107" t="b">
        <f>AND(COUNTA(Meals_Receipts06)&gt;0,OR(Meals_Date06=0,Meals_Date06=Dropdown_NotSelectedValue,Meals_Date06=""))</f>
        <v>0</v>
      </c>
      <c r="B57" s="107">
        <f ca="1">IFERROR(INDIRECT(Table_ErrorList[[#This Row],[Attention To Named Range]]),"Error")</f>
        <v>0</v>
      </c>
      <c r="C57" s="102">
        <v>500</v>
      </c>
      <c r="D57" s="102" t="str">
        <f ca="1">IF(Table_ErrorList[[#This Row],[Manual Hierarchy]]="",CONCATENATE(TEXT(Table_ErrorList[[#This Row],[Section '#]],"00"),"-",TEXT(COUNTIF($E57:OFFSET(Table_ErrorList[[#Headers],[Section '#]],1,0,1,1),Table_ErrorList[[#This Row],[Section '#]]),"000")),Table_ErrorList[[#This Row],[Manual Hierarchy]])</f>
        <v>06-018</v>
      </c>
      <c r="E57" s="104">
        <v>6</v>
      </c>
      <c r="F57" s="104" t="str">
        <f>IFERROR(VLOOKUP(Table_ErrorList[[#This Row],[Section '#]],Table_SectionNames[],MATCH(Table_SectionNames[[#Headers],[Name]],Table_SectionNames[#Headers],0),FALSE),"Not found")</f>
        <v>Meals</v>
      </c>
      <c r="G57" s="104"/>
      <c r="H57" s="107" t="str">
        <f>IFERROR(VLOOKUP(Table_ErrorList[[#This Row],[Attention To Named Range]],Table_NamedRanges[],MATCH(Table_NamedRanges[[#Headers],[Reference Type]],Table_NamedRanges[#Headers],0),FALSE),"Error")</f>
        <v>Single Cell</v>
      </c>
      <c r="I57" s="102" t="s">
        <v>267</v>
      </c>
      <c r="J57" s="107" t="str">
        <f>IF(Table_ErrorList[[#This Row],[Manual Reference]]="",Table_ErrorList[[#This Row],[''Attention To'' Refence]],Table_ErrorList[[#This Row],[Manual Reference]])&amp;","</f>
        <v>$P$18,</v>
      </c>
      <c r="K57" s="107" t="str">
        <f>SUBSTITUTE(SUBSTITUTE(VLOOKUP(Table_ErrorList[[#This Row],[Attention To Named Range]],Table_NamedRanges[],MATCH(Table_NamedRanges[[#Headers],[Reference Text]],Table_NamedRanges[#Headers],0),FALSE),"=",""),"'Travel Expense Summary'!","")</f>
        <v>$P$18</v>
      </c>
      <c r="L57" s="107"/>
      <c r="M57" s="85" t="s">
        <v>277</v>
      </c>
      <c r="N57" s="85" t="s">
        <v>259</v>
      </c>
      <c r="O57" s="85" t="b">
        <v>1</v>
      </c>
      <c r="P57" s="106" t="s">
        <v>260</v>
      </c>
      <c r="Q57" s="106" t="s">
        <v>261</v>
      </c>
      <c r="R57"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7" s="85" t="b">
        <v>1</v>
      </c>
      <c r="T57" s="85" t="str">
        <f>IF(LEN(Table_ErrorList[[#This Row],[Message Bar Display]])&gt;$U$5,"Too Long, Characters = "&amp;LEN(Table_ErrorList[[#This Row],[Message Bar Display]])," ")</f>
        <v xml:space="preserve"> </v>
      </c>
      <c r="U57" s="85" t="str">
        <f>IF(LEN(Table_ErrorList[[#This Row],[Details Explanation (Line '#1)]])&gt;$U$5,"Too Long, Characters = "&amp;LEN(Table_ErrorList[[#This Row],[Details Explanation (Line '#1)]])," ")</f>
        <v xml:space="preserve"> </v>
      </c>
      <c r="V57" s="85" t="str">
        <f>IF(LEN(Table_ErrorList[[#This Row],[Details Explanation (Line '#2)]])&gt;$U$5,"Too Long, Characters = "&amp;LEN(Table_ErrorList[[#This Row],[Details Explanation (Line '#2)]])," ")</f>
        <v xml:space="preserve"> </v>
      </c>
    </row>
    <row r="58" spans="1:22" s="32" customFormat="1" ht="30" x14ac:dyDescent="0.25">
      <c r="A58" s="107" t="b">
        <f>IF(Meals_Date06&gt;0,NOT(AND(Field15_TravelStartDate&lt;=Meals_Date06,Field16_TravelEndDate&gt;=Meals_Date06)),FALSE)</f>
        <v>0</v>
      </c>
      <c r="B58" s="107">
        <f ca="1">IFERROR(INDIRECT(Table_ErrorList[[#This Row],[Attention To Named Range]]),"Error")</f>
        <v>0</v>
      </c>
      <c r="C58" s="102">
        <v>501</v>
      </c>
      <c r="D58" s="102" t="str">
        <f ca="1">IF(Table_ErrorList[[#This Row],[Manual Hierarchy]]="",CONCATENATE(TEXT(Table_ErrorList[[#This Row],[Section '#]],"00"),"-",TEXT(COUNTIF($E58:OFFSET(Table_ErrorList[[#Headers],[Section '#]],1,0,1,1),Table_ErrorList[[#This Row],[Section '#]]),"000")),Table_ErrorList[[#This Row],[Manual Hierarchy]])</f>
        <v>06-019</v>
      </c>
      <c r="E58" s="104">
        <v>6</v>
      </c>
      <c r="F58" s="104" t="str">
        <f>IFERROR(VLOOKUP(Table_ErrorList[[#This Row],[Section '#]],Table_SectionNames[],MATCH(Table_SectionNames[[#Headers],[Name]],Table_SectionNames[#Headers],0),FALSE),"Not found")</f>
        <v>Meals</v>
      </c>
      <c r="G58" s="104"/>
      <c r="H58" s="107" t="str">
        <f>IFERROR(VLOOKUP(Table_ErrorList[[#This Row],[Attention To Named Range]],Table_NamedRanges[],MATCH(Table_NamedRanges[[#Headers],[Reference Type]],Table_NamedRanges[#Headers],0),FALSE),"Error")</f>
        <v>Single Cell</v>
      </c>
      <c r="I58" s="102" t="s">
        <v>267</v>
      </c>
      <c r="J58" s="107" t="str">
        <f>IF(Table_ErrorList[[#This Row],[Manual Reference]]="",Table_ErrorList[[#This Row],[''Attention To'' Refence]],Table_ErrorList[[#This Row],[Manual Reference]])&amp;","</f>
        <v>$P$18,</v>
      </c>
      <c r="K58" s="107" t="str">
        <f>SUBSTITUTE(SUBSTITUTE(VLOOKUP(Table_ErrorList[[#This Row],[Attention To Named Range]],Table_NamedRanges[],MATCH(Table_NamedRanges[[#Headers],[Reference Text]],Table_NamedRanges[#Headers],0),FALSE),"=",""),"'Travel Expense Summary'!","")</f>
        <v>$P$18</v>
      </c>
      <c r="L58" s="107"/>
      <c r="M58" s="85" t="s">
        <v>1208</v>
      </c>
      <c r="N58" s="85" t="s">
        <v>1203</v>
      </c>
      <c r="O58" s="85" t="b">
        <v>1</v>
      </c>
      <c r="P58" s="106" t="s">
        <v>1201</v>
      </c>
      <c r="Q58" s="106" t="s">
        <v>1202</v>
      </c>
      <c r="R58" s="109" t="s">
        <v>1213</v>
      </c>
      <c r="S58" s="85" t="b">
        <v>1</v>
      </c>
      <c r="T58" s="107" t="str">
        <f>IF(LEN(Table_ErrorList[[#This Row],[Message Bar Display]])&gt;$U$5,"Too Long, Characters = "&amp;LEN(Table_ErrorList[[#This Row],[Message Bar Display]])," ")</f>
        <v xml:space="preserve"> </v>
      </c>
      <c r="U58" s="107" t="str">
        <f>IF(LEN(Table_ErrorList[[#This Row],[Details Explanation (Line '#1)]])&gt;$U$5,"Too Long, Characters = "&amp;LEN(Table_ErrorList[[#This Row],[Details Explanation (Line '#1)]])," ")</f>
        <v xml:space="preserve"> </v>
      </c>
      <c r="V58" s="107" t="str">
        <f>IF(LEN(Table_ErrorList[[#This Row],[Details Explanation (Line '#2)]])&gt;$U$5,"Too Long, Characters = "&amp;LEN(Table_ErrorList[[#This Row],[Details Explanation (Line '#2)]])," ")</f>
        <v xml:space="preserve"> </v>
      </c>
    </row>
    <row r="59" spans="1:22" ht="45" x14ac:dyDescent="0.25">
      <c r="A59" s="107" t="b">
        <f>AND(COUNTA(Meals_Date06)&gt;0,COUNTA(Meals_Receipts06)=0)</f>
        <v>0</v>
      </c>
      <c r="B59" s="107" t="str">
        <f ca="1">IFERROR(INDIRECT(Table_ErrorList[[#This Row],[Attention To Named Range]]),"Error")</f>
        <v>Error</v>
      </c>
      <c r="C59" s="102">
        <v>510</v>
      </c>
      <c r="D59" s="102" t="str">
        <f ca="1">IF(Table_ErrorList[[#This Row],[Manual Hierarchy]]="",CONCATENATE(TEXT(Table_ErrorList[[#This Row],[Section '#]],"00"),"-",TEXT(COUNTIF($E59:OFFSET(Table_ErrorList[[#Headers],[Section '#]],1,0,1,1),Table_ErrorList[[#This Row],[Section '#]]),"000")),Table_ErrorList[[#This Row],[Manual Hierarchy]])</f>
        <v>06-020</v>
      </c>
      <c r="E59" s="104">
        <v>6</v>
      </c>
      <c r="F59" s="104" t="str">
        <f>IFERROR(VLOOKUP(Table_ErrorList[[#This Row],[Section '#]],Table_SectionNames[],MATCH(Table_SectionNames[[#Headers],[Name]],Table_SectionNames[#Headers],0),FALSE),"Not found")</f>
        <v>Meals</v>
      </c>
      <c r="G59" s="104"/>
      <c r="H59" s="107" t="str">
        <f>IFERROR(VLOOKUP(Table_ErrorList[[#This Row],[Attention To Named Range]],Table_NamedRanges[],MATCH(Table_NamedRanges[[#Headers],[Reference Type]],Table_NamedRanges[#Headers],0),FALSE),"Error")</f>
        <v>Multiple (Cell or Range)</v>
      </c>
      <c r="I59" s="102" t="s">
        <v>286</v>
      </c>
      <c r="J59" s="107" t="str">
        <f>IF(Table_ErrorList[[#This Row],[Manual Reference]]="",Table_ErrorList[[#This Row],[''Attention To'' Refence]],Table_ErrorList[[#This Row],[Manual Reference]])&amp;","</f>
        <v>$R$18,$S$18,$T$18,</v>
      </c>
      <c r="K59" s="107" t="str">
        <f>SUBSTITUTE(SUBSTITUTE(VLOOKUP(Table_ErrorList[[#This Row],[Attention To Named Range]],Table_NamedRanges[],MATCH(Table_NamedRanges[[#Headers],[Reference Text]],Table_NamedRanges[#Headers],0),FALSE),"=",""),"'Travel Expense Summary'!","")</f>
        <v>$R$18,$S$18,$T$18</v>
      </c>
      <c r="L59" s="107"/>
      <c r="M59" s="85" t="s">
        <v>293</v>
      </c>
      <c r="N59" s="85" t="s">
        <v>300</v>
      </c>
      <c r="O59" s="85" t="b">
        <v>1</v>
      </c>
      <c r="P59" s="106" t="s">
        <v>1010</v>
      </c>
      <c r="Q59" s="106" t="s">
        <v>728</v>
      </c>
      <c r="R59"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9" s="85" t="b">
        <v>1</v>
      </c>
      <c r="T59" s="85" t="str">
        <f>IF(LEN(Table_ErrorList[[#This Row],[Message Bar Display]])&gt;$U$5,"Too Long, Characters = "&amp;LEN(Table_ErrorList[[#This Row],[Message Bar Display]])," ")</f>
        <v xml:space="preserve"> </v>
      </c>
      <c r="U59" s="85" t="str">
        <f>IF(LEN(Table_ErrorList[[#This Row],[Details Explanation (Line '#1)]])&gt;$U$5,"Too Long, Characters = "&amp;LEN(Table_ErrorList[[#This Row],[Details Explanation (Line '#1)]])," ")</f>
        <v xml:space="preserve"> </v>
      </c>
      <c r="V59" s="85" t="str">
        <f>IF(LEN(Table_ErrorList[[#This Row],[Details Explanation (Line '#2)]])&gt;$U$5,"Too Long, Characters = "&amp;LEN(Table_ErrorList[[#This Row],[Details Explanation (Line '#2)]])," ")</f>
        <v xml:space="preserve"> </v>
      </c>
    </row>
    <row r="60" spans="1:22" ht="22.5" x14ac:dyDescent="0.25">
      <c r="A60" s="107" t="b">
        <f>AND(COUNTA(Meals_Receipts07)&gt;0,OR(Meals_Date07=0,Meals_Date07=Dropdown_NotSelectedValue,Meals_Date07=""))</f>
        <v>0</v>
      </c>
      <c r="B60" s="107">
        <f ca="1">IFERROR(INDIRECT(Table_ErrorList[[#This Row],[Attention To Named Range]]),"Error")</f>
        <v>0</v>
      </c>
      <c r="C60" s="102">
        <v>520</v>
      </c>
      <c r="D60" s="102" t="str">
        <f ca="1">IF(Table_ErrorList[[#This Row],[Manual Hierarchy]]="",CONCATENATE(TEXT(Table_ErrorList[[#This Row],[Section '#]],"00"),"-",TEXT(COUNTIF($E60:OFFSET(Table_ErrorList[[#Headers],[Section '#]],1,0,1,1),Table_ErrorList[[#This Row],[Section '#]]),"000")),Table_ErrorList[[#This Row],[Manual Hierarchy]])</f>
        <v>06-021</v>
      </c>
      <c r="E60" s="104">
        <v>6</v>
      </c>
      <c r="F60" s="104" t="str">
        <f>IFERROR(VLOOKUP(Table_ErrorList[[#This Row],[Section '#]],Table_SectionNames[],MATCH(Table_SectionNames[[#Headers],[Name]],Table_SectionNames[#Headers],0),FALSE),"Not found")</f>
        <v>Meals</v>
      </c>
      <c r="G60" s="104"/>
      <c r="H60" s="107" t="str">
        <f>IFERROR(VLOOKUP(Table_ErrorList[[#This Row],[Attention To Named Range]],Table_NamedRanges[],MATCH(Table_NamedRanges[[#Headers],[Reference Type]],Table_NamedRanges[#Headers],0),FALSE),"Error")</f>
        <v>Single Cell</v>
      </c>
      <c r="I60" s="102" t="s">
        <v>268</v>
      </c>
      <c r="J60" s="107" t="str">
        <f>IF(Table_ErrorList[[#This Row],[Manual Reference]]="",Table_ErrorList[[#This Row],[''Attention To'' Refence]],Table_ErrorList[[#This Row],[Manual Reference]])&amp;","</f>
        <v>$P$19,</v>
      </c>
      <c r="K60" s="107" t="str">
        <f>SUBSTITUTE(SUBSTITUTE(VLOOKUP(Table_ErrorList[[#This Row],[Attention To Named Range]],Table_NamedRanges[],MATCH(Table_NamedRanges[[#Headers],[Reference Text]],Table_NamedRanges[#Headers],0),FALSE),"=",""),"'Travel Expense Summary'!","")</f>
        <v>$P$19</v>
      </c>
      <c r="L60" s="107"/>
      <c r="M60" s="85" t="s">
        <v>278</v>
      </c>
      <c r="N60" s="85" t="s">
        <v>259</v>
      </c>
      <c r="O60" s="85" t="b">
        <v>1</v>
      </c>
      <c r="P60" s="106" t="s">
        <v>260</v>
      </c>
      <c r="Q60" s="106" t="s">
        <v>261</v>
      </c>
      <c r="R60"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0" s="85" t="b">
        <v>1</v>
      </c>
      <c r="T60" s="85" t="str">
        <f>IF(LEN(Table_ErrorList[[#This Row],[Message Bar Display]])&gt;$U$5,"Too Long, Characters = "&amp;LEN(Table_ErrorList[[#This Row],[Message Bar Display]])," ")</f>
        <v xml:space="preserve"> </v>
      </c>
      <c r="U60" s="85" t="str">
        <f>IF(LEN(Table_ErrorList[[#This Row],[Details Explanation (Line '#1)]])&gt;$U$5,"Too Long, Characters = "&amp;LEN(Table_ErrorList[[#This Row],[Details Explanation (Line '#1)]])," ")</f>
        <v xml:space="preserve"> </v>
      </c>
      <c r="V60" s="85" t="str">
        <f>IF(LEN(Table_ErrorList[[#This Row],[Details Explanation (Line '#2)]])&gt;$U$5,"Too Long, Characters = "&amp;LEN(Table_ErrorList[[#This Row],[Details Explanation (Line '#2)]])," ")</f>
        <v xml:space="preserve"> </v>
      </c>
    </row>
    <row r="61" spans="1:22" s="32" customFormat="1" ht="30" x14ac:dyDescent="0.25">
      <c r="A61" s="107" t="b">
        <f>IF(Meals_Date07&gt;0,NOT(AND(Field15_TravelStartDate&lt;=Meals_Date07,Field16_TravelEndDate&gt;=Meals_Date07)),FALSE)</f>
        <v>0</v>
      </c>
      <c r="B61" s="107">
        <f ca="1">IFERROR(INDIRECT(Table_ErrorList[[#This Row],[Attention To Named Range]]),"Error")</f>
        <v>0</v>
      </c>
      <c r="C61" s="102">
        <v>521</v>
      </c>
      <c r="D61" s="102" t="str">
        <f ca="1">IF(Table_ErrorList[[#This Row],[Manual Hierarchy]]="",CONCATENATE(TEXT(Table_ErrorList[[#This Row],[Section '#]],"00"),"-",TEXT(COUNTIF($E61:OFFSET(Table_ErrorList[[#Headers],[Section '#]],1,0,1,1),Table_ErrorList[[#This Row],[Section '#]]),"000")),Table_ErrorList[[#This Row],[Manual Hierarchy]])</f>
        <v>06-022</v>
      </c>
      <c r="E61" s="104">
        <v>6</v>
      </c>
      <c r="F61" s="104" t="str">
        <f>IFERROR(VLOOKUP(Table_ErrorList[[#This Row],[Section '#]],Table_SectionNames[],MATCH(Table_SectionNames[[#Headers],[Name]],Table_SectionNames[#Headers],0),FALSE),"Not found")</f>
        <v>Meals</v>
      </c>
      <c r="G61" s="104"/>
      <c r="H61" s="107" t="str">
        <f>IFERROR(VLOOKUP(Table_ErrorList[[#This Row],[Attention To Named Range]],Table_NamedRanges[],MATCH(Table_NamedRanges[[#Headers],[Reference Type]],Table_NamedRanges[#Headers],0),FALSE),"Error")</f>
        <v>Single Cell</v>
      </c>
      <c r="I61" s="102" t="s">
        <v>268</v>
      </c>
      <c r="J61" s="107" t="str">
        <f>IF(Table_ErrorList[[#This Row],[Manual Reference]]="",Table_ErrorList[[#This Row],[''Attention To'' Refence]],Table_ErrorList[[#This Row],[Manual Reference]])&amp;","</f>
        <v>$P$19,</v>
      </c>
      <c r="K61" s="107" t="str">
        <f>SUBSTITUTE(SUBSTITUTE(VLOOKUP(Table_ErrorList[[#This Row],[Attention To Named Range]],Table_NamedRanges[],MATCH(Table_NamedRanges[[#Headers],[Reference Text]],Table_NamedRanges[#Headers],0),FALSE),"=",""),"'Travel Expense Summary'!","")</f>
        <v>$P$19</v>
      </c>
      <c r="L61" s="107"/>
      <c r="M61" s="85" t="s">
        <v>1210</v>
      </c>
      <c r="N61" s="85" t="s">
        <v>1203</v>
      </c>
      <c r="O61" s="85" t="b">
        <v>1</v>
      </c>
      <c r="P61" s="106" t="s">
        <v>1201</v>
      </c>
      <c r="Q61" s="106" t="s">
        <v>1202</v>
      </c>
      <c r="R61" s="109" t="s">
        <v>1213</v>
      </c>
      <c r="S61" s="85" t="b">
        <v>1</v>
      </c>
      <c r="T61" s="107" t="str">
        <f>IF(LEN(Table_ErrorList[[#This Row],[Message Bar Display]])&gt;$U$5,"Too Long, Characters = "&amp;LEN(Table_ErrorList[[#This Row],[Message Bar Display]])," ")</f>
        <v xml:space="preserve"> </v>
      </c>
      <c r="U61" s="107" t="str">
        <f>IF(LEN(Table_ErrorList[[#This Row],[Details Explanation (Line '#1)]])&gt;$U$5,"Too Long, Characters = "&amp;LEN(Table_ErrorList[[#This Row],[Details Explanation (Line '#1)]])," ")</f>
        <v xml:space="preserve"> </v>
      </c>
      <c r="V61" s="107" t="str">
        <f>IF(LEN(Table_ErrorList[[#This Row],[Details Explanation (Line '#2)]])&gt;$U$5,"Too Long, Characters = "&amp;LEN(Table_ErrorList[[#This Row],[Details Explanation (Line '#2)]])," ")</f>
        <v xml:space="preserve"> </v>
      </c>
    </row>
    <row r="62" spans="1:22" ht="45" x14ac:dyDescent="0.25">
      <c r="A62" s="107" t="b">
        <f>AND(COUNTA(Meals_Date07)&gt;0,COUNTA(Meals_Receipts07)=0)</f>
        <v>0</v>
      </c>
      <c r="B62" s="107" t="str">
        <f ca="1">IFERROR(INDIRECT(Table_ErrorList[[#This Row],[Attention To Named Range]]),"Error")</f>
        <v>Error</v>
      </c>
      <c r="C62" s="102">
        <v>530</v>
      </c>
      <c r="D62" s="102" t="str">
        <f ca="1">IF(Table_ErrorList[[#This Row],[Manual Hierarchy]]="",CONCATENATE(TEXT(Table_ErrorList[[#This Row],[Section '#]],"00"),"-",TEXT(COUNTIF($E62:OFFSET(Table_ErrorList[[#Headers],[Section '#]],1,0,1,1),Table_ErrorList[[#This Row],[Section '#]]),"000")),Table_ErrorList[[#This Row],[Manual Hierarchy]])</f>
        <v>06-023</v>
      </c>
      <c r="E62" s="104">
        <v>6</v>
      </c>
      <c r="F62" s="104" t="str">
        <f>IFERROR(VLOOKUP(Table_ErrorList[[#This Row],[Section '#]],Table_SectionNames[],MATCH(Table_SectionNames[[#Headers],[Name]],Table_SectionNames[#Headers],0),FALSE),"Not found")</f>
        <v>Meals</v>
      </c>
      <c r="G62" s="104"/>
      <c r="H62" s="107" t="str">
        <f>IFERROR(VLOOKUP(Table_ErrorList[[#This Row],[Attention To Named Range]],Table_NamedRanges[],MATCH(Table_NamedRanges[[#Headers],[Reference Type]],Table_NamedRanges[#Headers],0),FALSE),"Error")</f>
        <v>Multiple (Cell or Range)</v>
      </c>
      <c r="I62" s="102" t="s">
        <v>287</v>
      </c>
      <c r="J62" s="107" t="str">
        <f>IF(Table_ErrorList[[#This Row],[Manual Reference]]="",Table_ErrorList[[#This Row],[''Attention To'' Refence]],Table_ErrorList[[#This Row],[Manual Reference]])&amp;","</f>
        <v>$R$19,$S$19,$T$19,</v>
      </c>
      <c r="K62" s="107" t="str">
        <f>SUBSTITUTE(SUBSTITUTE(VLOOKUP(Table_ErrorList[[#This Row],[Attention To Named Range]],Table_NamedRanges[],MATCH(Table_NamedRanges[[#Headers],[Reference Text]],Table_NamedRanges[#Headers],0),FALSE),"=",""),"'Travel Expense Summary'!","")</f>
        <v>$R$19,$S$19,$T$19</v>
      </c>
      <c r="L62" s="107"/>
      <c r="M62" s="85" t="s">
        <v>294</v>
      </c>
      <c r="N62" s="85" t="s">
        <v>300</v>
      </c>
      <c r="O62" s="85" t="b">
        <v>1</v>
      </c>
      <c r="P62" s="106" t="s">
        <v>1010</v>
      </c>
      <c r="Q62" s="106" t="s">
        <v>728</v>
      </c>
      <c r="R62"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2" s="85" t="b">
        <v>1</v>
      </c>
      <c r="T62" s="85" t="str">
        <f>IF(LEN(Table_ErrorList[[#This Row],[Message Bar Display]])&gt;$U$5,"Too Long, Characters = "&amp;LEN(Table_ErrorList[[#This Row],[Message Bar Display]])," ")</f>
        <v xml:space="preserve"> </v>
      </c>
      <c r="U62" s="85" t="str">
        <f>IF(LEN(Table_ErrorList[[#This Row],[Details Explanation (Line '#1)]])&gt;$U$5,"Too Long, Characters = "&amp;LEN(Table_ErrorList[[#This Row],[Details Explanation (Line '#1)]])," ")</f>
        <v xml:space="preserve"> </v>
      </c>
      <c r="V62" s="85" t="str">
        <f>IF(LEN(Table_ErrorList[[#This Row],[Details Explanation (Line '#2)]])&gt;$U$5,"Too Long, Characters = "&amp;LEN(Table_ErrorList[[#This Row],[Details Explanation (Line '#2)]])," ")</f>
        <v xml:space="preserve"> </v>
      </c>
    </row>
    <row r="63" spans="1:22" ht="22.5" x14ac:dyDescent="0.25">
      <c r="A63" s="107" t="b">
        <f>AND(COUNTA(Meals_Receipts08)&gt;0,OR(Meals_Date08=0,Meals_Date08=Dropdown_NotSelectedValue,Meals_Date08=""))</f>
        <v>0</v>
      </c>
      <c r="B63" s="107">
        <f ca="1">IFERROR(INDIRECT(Table_ErrorList[[#This Row],[Attention To Named Range]]),"Error")</f>
        <v>0</v>
      </c>
      <c r="C63" s="102">
        <v>540</v>
      </c>
      <c r="D63" s="102" t="str">
        <f ca="1">IF(Table_ErrorList[[#This Row],[Manual Hierarchy]]="",CONCATENATE(TEXT(Table_ErrorList[[#This Row],[Section '#]],"00"),"-",TEXT(COUNTIF($E63:OFFSET(Table_ErrorList[[#Headers],[Section '#]],1,0,1,1),Table_ErrorList[[#This Row],[Section '#]]),"000")),Table_ErrorList[[#This Row],[Manual Hierarchy]])</f>
        <v>06-024</v>
      </c>
      <c r="E63" s="104">
        <v>6</v>
      </c>
      <c r="F63" s="104" t="str">
        <f>IFERROR(VLOOKUP(Table_ErrorList[[#This Row],[Section '#]],Table_SectionNames[],MATCH(Table_SectionNames[[#Headers],[Name]],Table_SectionNames[#Headers],0),FALSE),"Not found")</f>
        <v>Meals</v>
      </c>
      <c r="G63" s="104"/>
      <c r="H63" s="107" t="str">
        <f>IFERROR(VLOOKUP(Table_ErrorList[[#This Row],[Attention To Named Range]],Table_NamedRanges[],MATCH(Table_NamedRanges[[#Headers],[Reference Type]],Table_NamedRanges[#Headers],0),FALSE),"Error")</f>
        <v>Single Cell</v>
      </c>
      <c r="I63" s="102" t="s">
        <v>269</v>
      </c>
      <c r="J63" s="107" t="str">
        <f>IF(Table_ErrorList[[#This Row],[Manual Reference]]="",Table_ErrorList[[#This Row],[''Attention To'' Refence]],Table_ErrorList[[#This Row],[Manual Reference]])&amp;","</f>
        <v>$P$20,</v>
      </c>
      <c r="K63" s="107" t="str">
        <f>SUBSTITUTE(SUBSTITUTE(VLOOKUP(Table_ErrorList[[#This Row],[Attention To Named Range]],Table_NamedRanges[],MATCH(Table_NamedRanges[[#Headers],[Reference Text]],Table_NamedRanges[#Headers],0),FALSE),"=",""),"'Travel Expense Summary'!","")</f>
        <v>$P$20</v>
      </c>
      <c r="L63" s="107"/>
      <c r="M63" s="85" t="s">
        <v>279</v>
      </c>
      <c r="N63" s="85" t="s">
        <v>259</v>
      </c>
      <c r="O63" s="85" t="b">
        <v>1</v>
      </c>
      <c r="P63" s="106" t="s">
        <v>260</v>
      </c>
      <c r="Q63" s="106" t="s">
        <v>261</v>
      </c>
      <c r="R63"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3" s="85" t="b">
        <v>1</v>
      </c>
      <c r="T63" s="85" t="str">
        <f>IF(LEN(Table_ErrorList[[#This Row],[Message Bar Display]])&gt;$U$5,"Too Long, Characters = "&amp;LEN(Table_ErrorList[[#This Row],[Message Bar Display]])," ")</f>
        <v xml:space="preserve"> </v>
      </c>
      <c r="U63" s="85" t="str">
        <f>IF(LEN(Table_ErrorList[[#This Row],[Details Explanation (Line '#1)]])&gt;$U$5,"Too Long, Characters = "&amp;LEN(Table_ErrorList[[#This Row],[Details Explanation (Line '#1)]])," ")</f>
        <v xml:space="preserve"> </v>
      </c>
      <c r="V63" s="85" t="str">
        <f>IF(LEN(Table_ErrorList[[#This Row],[Details Explanation (Line '#2)]])&gt;$U$5,"Too Long, Characters = "&amp;LEN(Table_ErrorList[[#This Row],[Details Explanation (Line '#2)]])," ")</f>
        <v xml:space="preserve"> </v>
      </c>
    </row>
    <row r="64" spans="1:22" s="32" customFormat="1" ht="30" x14ac:dyDescent="0.25">
      <c r="A64" s="107" t="b">
        <f>IF(Meals_Date08&gt;0,NOT(AND(Field15_TravelStartDate&lt;=Meals_Date08,Field16_TravelEndDate&gt;=Meals_Date08)),FALSE)</f>
        <v>0</v>
      </c>
      <c r="B64" s="107">
        <f ca="1">IFERROR(INDIRECT(Table_ErrorList[[#This Row],[Attention To Named Range]]),"Error")</f>
        <v>0</v>
      </c>
      <c r="C64" s="102">
        <v>541</v>
      </c>
      <c r="D64" s="102" t="str">
        <f ca="1">IF(Table_ErrorList[[#This Row],[Manual Hierarchy]]="",CONCATENATE(TEXT(Table_ErrorList[[#This Row],[Section '#]],"00"),"-",TEXT(COUNTIF($E64:OFFSET(Table_ErrorList[[#Headers],[Section '#]],1,0,1,1),Table_ErrorList[[#This Row],[Section '#]]),"000")),Table_ErrorList[[#This Row],[Manual Hierarchy]])</f>
        <v>06-025</v>
      </c>
      <c r="E64" s="104">
        <v>6</v>
      </c>
      <c r="F64" s="104" t="str">
        <f>IFERROR(VLOOKUP(Table_ErrorList[[#This Row],[Section '#]],Table_SectionNames[],MATCH(Table_SectionNames[[#Headers],[Name]],Table_SectionNames[#Headers],0),FALSE),"Not found")</f>
        <v>Meals</v>
      </c>
      <c r="G64" s="104"/>
      <c r="H64" s="107" t="str">
        <f>IFERROR(VLOOKUP(Table_ErrorList[[#This Row],[Attention To Named Range]],Table_NamedRanges[],MATCH(Table_NamedRanges[[#Headers],[Reference Type]],Table_NamedRanges[#Headers],0),FALSE),"Error")</f>
        <v>Single Cell</v>
      </c>
      <c r="I64" s="102" t="s">
        <v>269</v>
      </c>
      <c r="J64" s="107" t="str">
        <f>IF(Table_ErrorList[[#This Row],[Manual Reference]]="",Table_ErrorList[[#This Row],[''Attention To'' Refence]],Table_ErrorList[[#This Row],[Manual Reference]])&amp;","</f>
        <v>$P$20,</v>
      </c>
      <c r="K64" s="107" t="str">
        <f>SUBSTITUTE(SUBSTITUTE(VLOOKUP(Table_ErrorList[[#This Row],[Attention To Named Range]],Table_NamedRanges[],MATCH(Table_NamedRanges[[#Headers],[Reference Text]],Table_NamedRanges[#Headers],0),FALSE),"=",""),"'Travel Expense Summary'!","")</f>
        <v>$P$20</v>
      </c>
      <c r="L64" s="107"/>
      <c r="M64" s="85" t="s">
        <v>1209</v>
      </c>
      <c r="N64" s="85" t="s">
        <v>1203</v>
      </c>
      <c r="O64" s="85" t="b">
        <v>1</v>
      </c>
      <c r="P64" s="106" t="s">
        <v>1201</v>
      </c>
      <c r="Q64" s="106" t="s">
        <v>1202</v>
      </c>
      <c r="R64" s="109" t="s">
        <v>1213</v>
      </c>
      <c r="S64" s="85" t="b">
        <v>1</v>
      </c>
      <c r="T64" s="107" t="str">
        <f>IF(LEN(Table_ErrorList[[#This Row],[Message Bar Display]])&gt;$U$5,"Too Long, Characters = "&amp;LEN(Table_ErrorList[[#This Row],[Message Bar Display]])," ")</f>
        <v xml:space="preserve"> </v>
      </c>
      <c r="U64" s="107" t="str">
        <f>IF(LEN(Table_ErrorList[[#This Row],[Details Explanation (Line '#1)]])&gt;$U$5,"Too Long, Characters = "&amp;LEN(Table_ErrorList[[#This Row],[Details Explanation (Line '#1)]])," ")</f>
        <v xml:space="preserve"> </v>
      </c>
      <c r="V64" s="107" t="str">
        <f>IF(LEN(Table_ErrorList[[#This Row],[Details Explanation (Line '#2)]])&gt;$U$5,"Too Long, Characters = "&amp;LEN(Table_ErrorList[[#This Row],[Details Explanation (Line '#2)]])," ")</f>
        <v xml:space="preserve"> </v>
      </c>
    </row>
    <row r="65" spans="1:22" ht="45" x14ac:dyDescent="0.25">
      <c r="A65" s="107" t="b">
        <f>AND(COUNTA(Meals_Date08)&gt;0,COUNTA(Meals_Receipts08)=0)</f>
        <v>0</v>
      </c>
      <c r="B65" s="107" t="str">
        <f ca="1">IFERROR(INDIRECT(Table_ErrorList[[#This Row],[Attention To Named Range]]),"Error")</f>
        <v>Error</v>
      </c>
      <c r="C65" s="102">
        <v>550</v>
      </c>
      <c r="D65" s="102" t="str">
        <f ca="1">IF(Table_ErrorList[[#This Row],[Manual Hierarchy]]="",CONCATENATE(TEXT(Table_ErrorList[[#This Row],[Section '#]],"00"),"-",TEXT(COUNTIF($E65:OFFSET(Table_ErrorList[[#Headers],[Section '#]],1,0,1,1),Table_ErrorList[[#This Row],[Section '#]]),"000")),Table_ErrorList[[#This Row],[Manual Hierarchy]])</f>
        <v>06-026</v>
      </c>
      <c r="E65" s="104">
        <v>6</v>
      </c>
      <c r="F65" s="104" t="str">
        <f>IFERROR(VLOOKUP(Table_ErrorList[[#This Row],[Section '#]],Table_SectionNames[],MATCH(Table_SectionNames[[#Headers],[Name]],Table_SectionNames[#Headers],0),FALSE),"Not found")</f>
        <v>Meals</v>
      </c>
      <c r="G65" s="104"/>
      <c r="H65" s="107" t="str">
        <f>IFERROR(VLOOKUP(Table_ErrorList[[#This Row],[Attention To Named Range]],Table_NamedRanges[],MATCH(Table_NamedRanges[[#Headers],[Reference Type]],Table_NamedRanges[#Headers],0),FALSE),"Error")</f>
        <v>Multiple (Cell or Range)</v>
      </c>
      <c r="I65" s="102" t="s">
        <v>288</v>
      </c>
      <c r="J65" s="107" t="str">
        <f>IF(Table_ErrorList[[#This Row],[Manual Reference]]="",Table_ErrorList[[#This Row],[''Attention To'' Refence]],Table_ErrorList[[#This Row],[Manual Reference]])&amp;","</f>
        <v>$R$20,$S$20,$T$20,</v>
      </c>
      <c r="K65" s="107" t="str">
        <f>SUBSTITUTE(SUBSTITUTE(VLOOKUP(Table_ErrorList[[#This Row],[Attention To Named Range]],Table_NamedRanges[],MATCH(Table_NamedRanges[[#Headers],[Reference Text]],Table_NamedRanges[#Headers],0),FALSE),"=",""),"'Travel Expense Summary'!","")</f>
        <v>$R$20,$S$20,$T$20</v>
      </c>
      <c r="L65" s="107"/>
      <c r="M65" s="85" t="s">
        <v>295</v>
      </c>
      <c r="N65" s="85" t="s">
        <v>300</v>
      </c>
      <c r="O65" s="85" t="b">
        <v>1</v>
      </c>
      <c r="P65" s="106" t="s">
        <v>1010</v>
      </c>
      <c r="Q65" s="106" t="s">
        <v>728</v>
      </c>
      <c r="R65"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5" s="85" t="b">
        <v>1</v>
      </c>
      <c r="T65" s="85" t="str">
        <f>IF(LEN(Table_ErrorList[[#This Row],[Message Bar Display]])&gt;$U$5,"Too Long, Characters = "&amp;LEN(Table_ErrorList[[#This Row],[Message Bar Display]])," ")</f>
        <v xml:space="preserve"> </v>
      </c>
      <c r="U65" s="85" t="str">
        <f>IF(LEN(Table_ErrorList[[#This Row],[Details Explanation (Line '#1)]])&gt;$U$5,"Too Long, Characters = "&amp;LEN(Table_ErrorList[[#This Row],[Details Explanation (Line '#1)]])," ")</f>
        <v xml:space="preserve"> </v>
      </c>
      <c r="V65" s="85" t="str">
        <f>IF(LEN(Table_ErrorList[[#This Row],[Details Explanation (Line '#2)]])&gt;$U$5,"Too Long, Characters = "&amp;LEN(Table_ErrorList[[#This Row],[Details Explanation (Line '#2)]])," ")</f>
        <v xml:space="preserve"> </v>
      </c>
    </row>
    <row r="66" spans="1:22" ht="22.5" x14ac:dyDescent="0.25">
      <c r="A66" s="107" t="b">
        <f>AND(COUNTA(Meals_Receipts09)&gt;0,OR(Meals_Date09=0,Meals_Date09=Dropdown_NotSelectedValue,Meals_Date09=""))</f>
        <v>0</v>
      </c>
      <c r="B66" s="107">
        <f ca="1">IFERROR(INDIRECT(Table_ErrorList[[#This Row],[Attention To Named Range]]),"Error")</f>
        <v>0</v>
      </c>
      <c r="C66" s="102">
        <v>560</v>
      </c>
      <c r="D66" s="102" t="str">
        <f ca="1">IF(Table_ErrorList[[#This Row],[Manual Hierarchy]]="",CONCATENATE(TEXT(Table_ErrorList[[#This Row],[Section '#]],"00"),"-",TEXT(COUNTIF($E66:OFFSET(Table_ErrorList[[#Headers],[Section '#]],1,0,1,1),Table_ErrorList[[#This Row],[Section '#]]),"000")),Table_ErrorList[[#This Row],[Manual Hierarchy]])</f>
        <v>06-027</v>
      </c>
      <c r="E66" s="104">
        <v>6</v>
      </c>
      <c r="F66" s="104" t="str">
        <f>IFERROR(VLOOKUP(Table_ErrorList[[#This Row],[Section '#]],Table_SectionNames[],MATCH(Table_SectionNames[[#Headers],[Name]],Table_SectionNames[#Headers],0),FALSE),"Not found")</f>
        <v>Meals</v>
      </c>
      <c r="G66" s="104"/>
      <c r="H66" s="107" t="str">
        <f>IFERROR(VLOOKUP(Table_ErrorList[[#This Row],[Attention To Named Range]],Table_NamedRanges[],MATCH(Table_NamedRanges[[#Headers],[Reference Type]],Table_NamedRanges[#Headers],0),FALSE),"Error")</f>
        <v>Single Cell</v>
      </c>
      <c r="I66" s="102" t="s">
        <v>270</v>
      </c>
      <c r="J66" s="107" t="str">
        <f>IF(Table_ErrorList[[#This Row],[Manual Reference]]="",Table_ErrorList[[#This Row],[''Attention To'' Refence]],Table_ErrorList[[#This Row],[Manual Reference]])&amp;","</f>
        <v>$P$21,</v>
      </c>
      <c r="K66" s="107" t="str">
        <f>SUBSTITUTE(SUBSTITUTE(VLOOKUP(Table_ErrorList[[#This Row],[Attention To Named Range]],Table_NamedRanges[],MATCH(Table_NamedRanges[[#Headers],[Reference Text]],Table_NamedRanges[#Headers],0),FALSE),"=",""),"'Travel Expense Summary'!","")</f>
        <v>$P$21</v>
      </c>
      <c r="L66" s="107"/>
      <c r="M66" s="85" t="s">
        <v>280</v>
      </c>
      <c r="N66" s="85" t="s">
        <v>259</v>
      </c>
      <c r="O66" s="85" t="b">
        <v>1</v>
      </c>
      <c r="P66" s="106" t="s">
        <v>260</v>
      </c>
      <c r="Q66" s="106" t="s">
        <v>261</v>
      </c>
      <c r="R66"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6" s="85" t="b">
        <v>1</v>
      </c>
      <c r="T66" s="85" t="str">
        <f>IF(LEN(Table_ErrorList[[#This Row],[Message Bar Display]])&gt;$U$5,"Too Long, Characters = "&amp;LEN(Table_ErrorList[[#This Row],[Message Bar Display]])," ")</f>
        <v xml:space="preserve"> </v>
      </c>
      <c r="U66" s="85" t="str">
        <f>IF(LEN(Table_ErrorList[[#This Row],[Details Explanation (Line '#1)]])&gt;$U$5,"Too Long, Characters = "&amp;LEN(Table_ErrorList[[#This Row],[Details Explanation (Line '#1)]])," ")</f>
        <v xml:space="preserve"> </v>
      </c>
      <c r="V66" s="85" t="str">
        <f>IF(LEN(Table_ErrorList[[#This Row],[Details Explanation (Line '#2)]])&gt;$U$5,"Too Long, Characters = "&amp;LEN(Table_ErrorList[[#This Row],[Details Explanation (Line '#2)]])," ")</f>
        <v xml:space="preserve"> </v>
      </c>
    </row>
    <row r="67" spans="1:22" s="32" customFormat="1" ht="30" x14ac:dyDescent="0.25">
      <c r="A67" s="107" t="b">
        <f>IF(Meals_Date09&gt;0,NOT(AND(Field15_TravelStartDate&lt;=Meals_Date09,Field16_TravelEndDate&gt;=Meals_Date09)),FALSE)</f>
        <v>0</v>
      </c>
      <c r="B67" s="107">
        <f ca="1">IFERROR(INDIRECT(Table_ErrorList[[#This Row],[Attention To Named Range]]),"Error")</f>
        <v>0</v>
      </c>
      <c r="C67" s="102">
        <v>561</v>
      </c>
      <c r="D67" s="102" t="str">
        <f ca="1">IF(Table_ErrorList[[#This Row],[Manual Hierarchy]]="",CONCATENATE(TEXT(Table_ErrorList[[#This Row],[Section '#]],"00"),"-",TEXT(COUNTIF($E67:OFFSET(Table_ErrorList[[#Headers],[Section '#]],1,0,1,1),Table_ErrorList[[#This Row],[Section '#]]),"000")),Table_ErrorList[[#This Row],[Manual Hierarchy]])</f>
        <v>06-028</v>
      </c>
      <c r="E67" s="104">
        <v>6</v>
      </c>
      <c r="F67" s="104" t="str">
        <f>IFERROR(VLOOKUP(Table_ErrorList[[#This Row],[Section '#]],Table_SectionNames[],MATCH(Table_SectionNames[[#Headers],[Name]],Table_SectionNames[#Headers],0),FALSE),"Not found")</f>
        <v>Meals</v>
      </c>
      <c r="G67" s="104"/>
      <c r="H67" s="107" t="str">
        <f>IFERROR(VLOOKUP(Table_ErrorList[[#This Row],[Attention To Named Range]],Table_NamedRanges[],MATCH(Table_NamedRanges[[#Headers],[Reference Type]],Table_NamedRanges[#Headers],0),FALSE),"Error")</f>
        <v>Single Cell</v>
      </c>
      <c r="I67" s="102" t="s">
        <v>270</v>
      </c>
      <c r="J67" s="107" t="str">
        <f>IF(Table_ErrorList[[#This Row],[Manual Reference]]="",Table_ErrorList[[#This Row],[''Attention To'' Refence]],Table_ErrorList[[#This Row],[Manual Reference]])&amp;","</f>
        <v>$P$21,</v>
      </c>
      <c r="K67" s="107" t="str">
        <f>SUBSTITUTE(SUBSTITUTE(VLOOKUP(Table_ErrorList[[#This Row],[Attention To Named Range]],Table_NamedRanges[],MATCH(Table_NamedRanges[[#Headers],[Reference Text]],Table_NamedRanges[#Headers],0),FALSE),"=",""),"'Travel Expense Summary'!","")</f>
        <v>$P$21</v>
      </c>
      <c r="L67" s="107"/>
      <c r="M67" s="85" t="s">
        <v>1211</v>
      </c>
      <c r="N67" s="85" t="s">
        <v>1203</v>
      </c>
      <c r="O67" s="85" t="b">
        <v>1</v>
      </c>
      <c r="P67" s="106" t="s">
        <v>1201</v>
      </c>
      <c r="Q67" s="106" t="s">
        <v>1202</v>
      </c>
      <c r="R67" s="109" t="s">
        <v>1213</v>
      </c>
      <c r="S67" s="85" t="b">
        <v>1</v>
      </c>
      <c r="T67" s="107" t="str">
        <f>IF(LEN(Table_ErrorList[[#This Row],[Message Bar Display]])&gt;$U$5,"Too Long, Characters = "&amp;LEN(Table_ErrorList[[#This Row],[Message Bar Display]])," ")</f>
        <v xml:space="preserve"> </v>
      </c>
      <c r="U67" s="107" t="str">
        <f>IF(LEN(Table_ErrorList[[#This Row],[Details Explanation (Line '#1)]])&gt;$U$5,"Too Long, Characters = "&amp;LEN(Table_ErrorList[[#This Row],[Details Explanation (Line '#1)]])," ")</f>
        <v xml:space="preserve"> </v>
      </c>
      <c r="V67" s="107" t="str">
        <f>IF(LEN(Table_ErrorList[[#This Row],[Details Explanation (Line '#2)]])&gt;$U$5,"Too Long, Characters = "&amp;LEN(Table_ErrorList[[#This Row],[Details Explanation (Line '#2)]])," ")</f>
        <v xml:space="preserve"> </v>
      </c>
    </row>
    <row r="68" spans="1:22" ht="45" x14ac:dyDescent="0.25">
      <c r="A68" s="107" t="b">
        <f>AND(COUNTA(Meals_Date09)&gt;0,COUNTA(Meals_Receipts09)=0)</f>
        <v>0</v>
      </c>
      <c r="B68" s="107" t="str">
        <f ca="1">IFERROR(INDIRECT(Table_ErrorList[[#This Row],[Attention To Named Range]]),"Error")</f>
        <v>Error</v>
      </c>
      <c r="C68" s="102">
        <v>570</v>
      </c>
      <c r="D68" s="102" t="str">
        <f ca="1">IF(Table_ErrorList[[#This Row],[Manual Hierarchy]]="",CONCATENATE(TEXT(Table_ErrorList[[#This Row],[Section '#]],"00"),"-",TEXT(COUNTIF($E68:OFFSET(Table_ErrorList[[#Headers],[Section '#]],1,0,1,1),Table_ErrorList[[#This Row],[Section '#]]),"000")),Table_ErrorList[[#This Row],[Manual Hierarchy]])</f>
        <v>06-029</v>
      </c>
      <c r="E68" s="104">
        <v>6</v>
      </c>
      <c r="F68" s="104" t="str">
        <f>IFERROR(VLOOKUP(Table_ErrorList[[#This Row],[Section '#]],Table_SectionNames[],MATCH(Table_SectionNames[[#Headers],[Name]],Table_SectionNames[#Headers],0),FALSE),"Not found")</f>
        <v>Meals</v>
      </c>
      <c r="G68" s="104"/>
      <c r="H68" s="107" t="str">
        <f>IFERROR(VLOOKUP(Table_ErrorList[[#This Row],[Attention To Named Range]],Table_NamedRanges[],MATCH(Table_NamedRanges[[#Headers],[Reference Type]],Table_NamedRanges[#Headers],0),FALSE),"Error")</f>
        <v>Multiple (Cell or Range)</v>
      </c>
      <c r="I68" s="102" t="s">
        <v>289</v>
      </c>
      <c r="J68" s="107" t="str">
        <f>IF(Table_ErrorList[[#This Row],[Manual Reference]]="",Table_ErrorList[[#This Row],[''Attention To'' Refence]],Table_ErrorList[[#This Row],[Manual Reference]])&amp;","</f>
        <v>$R$21,$S$21,$T$21,</v>
      </c>
      <c r="K68" s="107" t="str">
        <f>SUBSTITUTE(SUBSTITUTE(VLOOKUP(Table_ErrorList[[#This Row],[Attention To Named Range]],Table_NamedRanges[],MATCH(Table_NamedRanges[[#Headers],[Reference Text]],Table_NamedRanges[#Headers],0),FALSE),"=",""),"'Travel Expense Summary'!","")</f>
        <v>$R$21,$S$21,$T$21</v>
      </c>
      <c r="L68" s="107"/>
      <c r="M68" s="85" t="s">
        <v>296</v>
      </c>
      <c r="N68" s="85" t="s">
        <v>300</v>
      </c>
      <c r="O68" s="85" t="b">
        <v>1</v>
      </c>
      <c r="P68" s="106" t="s">
        <v>1010</v>
      </c>
      <c r="Q68" s="106" t="s">
        <v>728</v>
      </c>
      <c r="R68"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8" s="85" t="b">
        <v>1</v>
      </c>
      <c r="T68" s="85" t="str">
        <f>IF(LEN(Table_ErrorList[[#This Row],[Message Bar Display]])&gt;$U$5,"Too Long, Characters = "&amp;LEN(Table_ErrorList[[#This Row],[Message Bar Display]])," ")</f>
        <v xml:space="preserve"> </v>
      </c>
      <c r="U68" s="85" t="str">
        <f>IF(LEN(Table_ErrorList[[#This Row],[Details Explanation (Line '#1)]])&gt;$U$5,"Too Long, Characters = "&amp;LEN(Table_ErrorList[[#This Row],[Details Explanation (Line '#1)]])," ")</f>
        <v xml:space="preserve"> </v>
      </c>
      <c r="V68" s="85" t="str">
        <f>IF(LEN(Table_ErrorList[[#This Row],[Details Explanation (Line '#2)]])&gt;$U$5,"Too Long, Characters = "&amp;LEN(Table_ErrorList[[#This Row],[Details Explanation (Line '#2)]])," ")</f>
        <v xml:space="preserve"> </v>
      </c>
    </row>
    <row r="69" spans="1:22" ht="22.5" x14ac:dyDescent="0.25">
      <c r="A69" s="107" t="b">
        <f>AND(COUNTA(Meals_Receipts10)&gt;0,OR(Meals_Date10=0,Meals_Date10=Dropdown_NotSelectedValue,Meals_Date10=""))</f>
        <v>0</v>
      </c>
      <c r="B69" s="107">
        <f ca="1">IFERROR(INDIRECT(Table_ErrorList[[#This Row],[Attention To Named Range]]),"Error")</f>
        <v>0</v>
      </c>
      <c r="C69" s="102">
        <v>580</v>
      </c>
      <c r="D69" s="102" t="str">
        <f ca="1">IF(Table_ErrorList[[#This Row],[Manual Hierarchy]]="",CONCATENATE(TEXT(Table_ErrorList[[#This Row],[Section '#]],"00"),"-",TEXT(COUNTIF($E69:OFFSET(Table_ErrorList[[#Headers],[Section '#]],1,0,1,1),Table_ErrorList[[#This Row],[Section '#]]),"000")),Table_ErrorList[[#This Row],[Manual Hierarchy]])</f>
        <v>06-030</v>
      </c>
      <c r="E69" s="104">
        <v>6</v>
      </c>
      <c r="F69" s="104" t="str">
        <f>IFERROR(VLOOKUP(Table_ErrorList[[#This Row],[Section '#]],Table_SectionNames[],MATCH(Table_SectionNames[[#Headers],[Name]],Table_SectionNames[#Headers],0),FALSE),"Not found")</f>
        <v>Meals</v>
      </c>
      <c r="G69" s="104"/>
      <c r="H69" s="107" t="str">
        <f>IFERROR(VLOOKUP(Table_ErrorList[[#This Row],[Attention To Named Range]],Table_NamedRanges[],MATCH(Table_NamedRanges[[#Headers],[Reference Type]],Table_NamedRanges[#Headers],0),FALSE),"Error")</f>
        <v>Single Cell</v>
      </c>
      <c r="I69" s="102" t="s">
        <v>271</v>
      </c>
      <c r="J69" s="107" t="str">
        <f>IF(Table_ErrorList[[#This Row],[Manual Reference]]="",Table_ErrorList[[#This Row],[''Attention To'' Refence]],Table_ErrorList[[#This Row],[Manual Reference]])&amp;","</f>
        <v>$P$22,</v>
      </c>
      <c r="K69" s="107" t="str">
        <f>SUBSTITUTE(SUBSTITUTE(VLOOKUP(Table_ErrorList[[#This Row],[Attention To Named Range]],Table_NamedRanges[],MATCH(Table_NamedRanges[[#Headers],[Reference Text]],Table_NamedRanges[#Headers],0),FALSE),"=",""),"'Travel Expense Summary'!","")</f>
        <v>$P$22</v>
      </c>
      <c r="L69" s="107"/>
      <c r="M69" s="85" t="s">
        <v>281</v>
      </c>
      <c r="N69" s="85" t="s">
        <v>259</v>
      </c>
      <c r="O69" s="85" t="b">
        <v>1</v>
      </c>
      <c r="P69" s="106" t="s">
        <v>260</v>
      </c>
      <c r="Q69" s="106" t="s">
        <v>261</v>
      </c>
      <c r="R69"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9" s="85" t="b">
        <v>1</v>
      </c>
      <c r="T69" s="85" t="str">
        <f>IF(LEN(Table_ErrorList[[#This Row],[Message Bar Display]])&gt;$U$5,"Too Long, Characters = "&amp;LEN(Table_ErrorList[[#This Row],[Message Bar Display]])," ")</f>
        <v xml:space="preserve"> </v>
      </c>
      <c r="U69" s="85" t="str">
        <f>IF(LEN(Table_ErrorList[[#This Row],[Details Explanation (Line '#1)]])&gt;$U$5,"Too Long, Characters = "&amp;LEN(Table_ErrorList[[#This Row],[Details Explanation (Line '#1)]])," ")</f>
        <v xml:space="preserve"> </v>
      </c>
      <c r="V69" s="85" t="str">
        <f>IF(LEN(Table_ErrorList[[#This Row],[Details Explanation (Line '#2)]])&gt;$U$5,"Too Long, Characters = "&amp;LEN(Table_ErrorList[[#This Row],[Details Explanation (Line '#2)]])," ")</f>
        <v xml:space="preserve"> </v>
      </c>
    </row>
    <row r="70" spans="1:22" s="32" customFormat="1" ht="30" x14ac:dyDescent="0.25">
      <c r="A70" s="107" t="b">
        <f>IF(Meals_Date10&gt;0,NOT(AND(Field15_TravelStartDate&lt;=Meals_Date10,Field16_TravelEndDate&gt;=Meals_Date10)),FALSE)</f>
        <v>0</v>
      </c>
      <c r="B70" s="107">
        <f ca="1">IFERROR(INDIRECT(Table_ErrorList[[#This Row],[Attention To Named Range]]),"Error")</f>
        <v>0</v>
      </c>
      <c r="C70" s="102">
        <v>581</v>
      </c>
      <c r="D70" s="102" t="str">
        <f ca="1">IF(Table_ErrorList[[#This Row],[Manual Hierarchy]]="",CONCATENATE(TEXT(Table_ErrorList[[#This Row],[Section '#]],"00"),"-",TEXT(COUNTIF($E70:OFFSET(Table_ErrorList[[#Headers],[Section '#]],1,0,1,1),Table_ErrorList[[#This Row],[Section '#]]),"000")),Table_ErrorList[[#This Row],[Manual Hierarchy]])</f>
        <v>06-031</v>
      </c>
      <c r="E70" s="104">
        <v>6</v>
      </c>
      <c r="F70" s="104" t="str">
        <f>IFERROR(VLOOKUP(Table_ErrorList[[#This Row],[Section '#]],Table_SectionNames[],MATCH(Table_SectionNames[[#Headers],[Name]],Table_SectionNames[#Headers],0),FALSE),"Not found")</f>
        <v>Meals</v>
      </c>
      <c r="G70" s="104"/>
      <c r="H70" s="107" t="str">
        <f>IFERROR(VLOOKUP(Table_ErrorList[[#This Row],[Attention To Named Range]],Table_NamedRanges[],MATCH(Table_NamedRanges[[#Headers],[Reference Type]],Table_NamedRanges[#Headers],0),FALSE),"Error")</f>
        <v>Single Cell</v>
      </c>
      <c r="I70" s="102" t="s">
        <v>271</v>
      </c>
      <c r="J70" s="107" t="str">
        <f>IF(Table_ErrorList[[#This Row],[Manual Reference]]="",Table_ErrorList[[#This Row],[''Attention To'' Refence]],Table_ErrorList[[#This Row],[Manual Reference]])&amp;","</f>
        <v>$P$22,</v>
      </c>
      <c r="K70" s="107" t="str">
        <f>SUBSTITUTE(SUBSTITUTE(VLOOKUP(Table_ErrorList[[#This Row],[Attention To Named Range]],Table_NamedRanges[],MATCH(Table_NamedRanges[[#Headers],[Reference Text]],Table_NamedRanges[#Headers],0),FALSE),"=",""),"'Travel Expense Summary'!","")</f>
        <v>$P$22</v>
      </c>
      <c r="L70" s="107"/>
      <c r="M70" s="85" t="s">
        <v>1212</v>
      </c>
      <c r="N70" s="85" t="s">
        <v>1203</v>
      </c>
      <c r="O70" s="85" t="b">
        <v>1</v>
      </c>
      <c r="P70" s="106" t="s">
        <v>1201</v>
      </c>
      <c r="Q70" s="106" t="s">
        <v>1202</v>
      </c>
      <c r="R70" s="109" t="s">
        <v>1213</v>
      </c>
      <c r="S70" s="85" t="b">
        <v>1</v>
      </c>
      <c r="T70" s="107" t="str">
        <f>IF(LEN(Table_ErrorList[[#This Row],[Message Bar Display]])&gt;$U$5,"Too Long, Characters = "&amp;LEN(Table_ErrorList[[#This Row],[Message Bar Display]])," ")</f>
        <v xml:space="preserve"> </v>
      </c>
      <c r="U70" s="107" t="str">
        <f>IF(LEN(Table_ErrorList[[#This Row],[Details Explanation (Line '#1)]])&gt;$U$5,"Too Long, Characters = "&amp;LEN(Table_ErrorList[[#This Row],[Details Explanation (Line '#1)]])," ")</f>
        <v xml:space="preserve"> </v>
      </c>
      <c r="V70" s="107" t="str">
        <f>IF(LEN(Table_ErrorList[[#This Row],[Details Explanation (Line '#2)]])&gt;$U$5,"Too Long, Characters = "&amp;LEN(Table_ErrorList[[#This Row],[Details Explanation (Line '#2)]])," ")</f>
        <v xml:space="preserve"> </v>
      </c>
    </row>
    <row r="71" spans="1:22" s="32" customFormat="1" ht="45" x14ac:dyDescent="0.25">
      <c r="A71" s="107" t="b">
        <f>AND(COUNTA(Meals_Date10)&gt;0,COUNTA(Meals_Receipts10)=0)</f>
        <v>0</v>
      </c>
      <c r="B71" s="107" t="str">
        <f ca="1">IFERROR(INDIRECT(Table_ErrorList[[#This Row],[Attention To Named Range]]),"Error")</f>
        <v>Error</v>
      </c>
      <c r="C71" s="102">
        <v>590</v>
      </c>
      <c r="D71" s="102" t="str">
        <f ca="1">IF(Table_ErrorList[[#This Row],[Manual Hierarchy]]="",CONCATENATE(TEXT(Table_ErrorList[[#This Row],[Section '#]],"00"),"-",TEXT(COUNTIF($E71:OFFSET(Table_ErrorList[[#Headers],[Section '#]],1,0,1,1),Table_ErrorList[[#This Row],[Section '#]]),"000")),Table_ErrorList[[#This Row],[Manual Hierarchy]])</f>
        <v>06-032</v>
      </c>
      <c r="E71" s="104">
        <v>6</v>
      </c>
      <c r="F71" s="104" t="str">
        <f>IFERROR(VLOOKUP(Table_ErrorList[[#This Row],[Section '#]],Table_SectionNames[],MATCH(Table_SectionNames[[#Headers],[Name]],Table_SectionNames[#Headers],0),FALSE),"Not found")</f>
        <v>Meals</v>
      </c>
      <c r="G71" s="104"/>
      <c r="H71" s="107" t="str">
        <f>IFERROR(VLOOKUP(Table_ErrorList[[#This Row],[Attention To Named Range]],Table_NamedRanges[],MATCH(Table_NamedRanges[[#Headers],[Reference Type]],Table_NamedRanges[#Headers],0),FALSE),"Error")</f>
        <v>Multiple (Cell or Range)</v>
      </c>
      <c r="I71" s="102" t="s">
        <v>290</v>
      </c>
      <c r="J71" s="107" t="str">
        <f>IF(Table_ErrorList[[#This Row],[Manual Reference]]="",Table_ErrorList[[#This Row],[''Attention To'' Refence]],Table_ErrorList[[#This Row],[Manual Reference]])&amp;","</f>
        <v>$R$22,$S$22,$T$22,</v>
      </c>
      <c r="K71" s="107" t="str">
        <f>SUBSTITUTE(SUBSTITUTE(VLOOKUP(Table_ErrorList[[#This Row],[Attention To Named Range]],Table_NamedRanges[],MATCH(Table_NamedRanges[[#Headers],[Reference Text]],Table_NamedRanges[#Headers],0),FALSE),"=",""),"'Travel Expense Summary'!","")</f>
        <v>$R$22,$S$22,$T$22</v>
      </c>
      <c r="L71" s="107"/>
      <c r="M71" s="85" t="s">
        <v>299</v>
      </c>
      <c r="N71" s="85" t="s">
        <v>300</v>
      </c>
      <c r="O71" s="85" t="b">
        <v>1</v>
      </c>
      <c r="P71" s="106" t="s">
        <v>1010</v>
      </c>
      <c r="Q71" s="106" t="s">
        <v>728</v>
      </c>
      <c r="R71" s="109"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71" s="85" t="b">
        <v>1</v>
      </c>
      <c r="T71" s="85" t="str">
        <f>IF(LEN(Table_ErrorList[[#This Row],[Message Bar Display]])&gt;$U$5,"Too Long, Characters = "&amp;LEN(Table_ErrorList[[#This Row],[Message Bar Display]])," ")</f>
        <v xml:space="preserve"> </v>
      </c>
      <c r="U71" s="85" t="str">
        <f>IF(LEN(Table_ErrorList[[#This Row],[Details Explanation (Line '#1)]])&gt;$U$5,"Too Long, Characters = "&amp;LEN(Table_ErrorList[[#This Row],[Details Explanation (Line '#1)]])," ")</f>
        <v xml:space="preserve"> </v>
      </c>
      <c r="V71" s="85" t="str">
        <f>IF(LEN(Table_ErrorList[[#This Row],[Details Explanation (Line '#2)]])&gt;$U$5,"Too Long, Characters = "&amp;LEN(Table_ErrorList[[#This Row],[Details Explanation (Line '#2)]])," ")</f>
        <v xml:space="preserve"> </v>
      </c>
    </row>
    <row r="72" spans="1:22" s="32" customFormat="1" ht="30" x14ac:dyDescent="0.25">
      <c r="A72" s="107" t="b">
        <f>AND(
OR(Others_Date01=0,Others_Date01="",Others_Date01=Dropdown_NotSelectedValue),
COUNTA(Others_Expense01,Others_Desc01, Others_From01, Others_To01, Others_Receipt01, Others_KM01)&gt;0)</f>
        <v>0</v>
      </c>
      <c r="B72" s="107">
        <f ca="1">IFERROR(INDIRECT(Table_ErrorList[[#This Row],[Attention To Named Range]]),"Error")</f>
        <v>0</v>
      </c>
      <c r="C72" s="102">
        <v>700</v>
      </c>
      <c r="D72" s="102" t="str">
        <f ca="1">IF(Table_ErrorList[[#This Row],[Manual Hierarchy]]="",CONCATENATE(TEXT(Table_ErrorList[[#This Row],[Section '#]],"00"),"-",TEXT(COUNTIF($E72:OFFSET(Table_ErrorList[[#Headers],[Section '#]],1,0,1,1),Table_ErrorList[[#This Row],[Section '#]]),"000")),Table_ErrorList[[#This Row],[Manual Hierarchy]])</f>
        <v>07-001</v>
      </c>
      <c r="E72" s="104">
        <v>7</v>
      </c>
      <c r="F72" s="104" t="str">
        <f>IFERROR(VLOOKUP(Table_ErrorList[[#This Row],[Section '#]],Table_SectionNames[],MATCH(Table_SectionNames[[#Headers],[Name]],Table_SectionNames[#Headers],0),FALSE),"Not found")</f>
        <v>Other Expenses</v>
      </c>
      <c r="G72" s="104"/>
      <c r="H72" s="107" t="str">
        <f>IFERROR(VLOOKUP(Table_ErrorList[[#This Row],[Attention To Named Range]],Table_NamedRanges[],MATCH(Table_NamedRanges[[#Headers],[Reference Type]],Table_NamedRanges[#Headers],0),FALSE),"Error")</f>
        <v>Single Cell</v>
      </c>
      <c r="I72" s="102" t="s">
        <v>517</v>
      </c>
      <c r="J72" s="107" t="str">
        <f>IF(Table_ErrorList[[#This Row],[Manual Reference]]="",Table_ErrorList[[#This Row],[''Attention To'' Refence]],Table_ErrorList[[#This Row],[Manual Reference]])&amp;","</f>
        <v>$I$27,</v>
      </c>
      <c r="K72" s="107" t="str">
        <f>SUBSTITUTE(SUBSTITUTE(VLOOKUP(Table_ErrorList[[#This Row],[Attention To Named Range]],Table_NamedRanges[],MATCH(Table_NamedRanges[[#Headers],[Reference Text]],Table_NamedRanges[#Headers],0),FALSE),"=",""),"'Travel Expense Summary'!","")</f>
        <v>$I$27</v>
      </c>
      <c r="L72" s="107"/>
      <c r="M72" s="85" t="s">
        <v>702</v>
      </c>
      <c r="N72" s="85" t="s">
        <v>570</v>
      </c>
      <c r="O72" s="85" t="b">
        <v>1</v>
      </c>
      <c r="P72" s="106" t="s">
        <v>260</v>
      </c>
      <c r="Q72" s="106" t="s">
        <v>261</v>
      </c>
      <c r="R72"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72" s="85" t="b">
        <v>1</v>
      </c>
      <c r="T72" s="85" t="str">
        <f>IF(LEN(Table_ErrorList[[#This Row],[Message Bar Display]])&gt;$U$5,"Too Long, Characters = "&amp;LEN(Table_ErrorList[[#This Row],[Message Bar Display]])," ")</f>
        <v xml:space="preserve"> </v>
      </c>
      <c r="U72" s="85" t="str">
        <f>IF(LEN(Table_ErrorList[[#This Row],[Details Explanation (Line '#1)]])&gt;$U$5,"Too Long, Characters = "&amp;LEN(Table_ErrorList[[#This Row],[Details Explanation (Line '#1)]])," ")</f>
        <v xml:space="preserve"> </v>
      </c>
      <c r="V72" s="85" t="str">
        <f>IF(LEN(Table_ErrorList[[#This Row],[Details Explanation (Line '#2)]])&gt;$U$5,"Too Long, Characters = "&amp;LEN(Table_ErrorList[[#This Row],[Details Explanation (Line '#2)]])," ")</f>
        <v xml:space="preserve"> </v>
      </c>
    </row>
    <row r="73" spans="1:22" s="32" customFormat="1" ht="30" x14ac:dyDescent="0.25">
      <c r="A73" s="107" t="b">
        <f>IF(Others_Date01&gt;0,NOT(AND(Field15_TravelStartDate&lt;=Others_Date01,Field16_TravelEndDate&gt;=Others_Date01)),FALSE)</f>
        <v>0</v>
      </c>
      <c r="B73" s="107">
        <f ca="1">IFERROR(INDIRECT(Table_ErrorList[[#This Row],[Attention To Named Range]]),"Error")</f>
        <v>0</v>
      </c>
      <c r="C73" s="102">
        <v>701</v>
      </c>
      <c r="D73" s="102" t="str">
        <f ca="1">IF(Table_ErrorList[[#This Row],[Manual Hierarchy]]="",CONCATENATE(TEXT(Table_ErrorList[[#This Row],[Section '#]],"00"),"-",TEXT(COUNTIF($E73:OFFSET(Table_ErrorList[[#Headers],[Section '#]],1,0,1,1),Table_ErrorList[[#This Row],[Section '#]]),"000")),Table_ErrorList[[#This Row],[Manual Hierarchy]])</f>
        <v>07-002</v>
      </c>
      <c r="E73" s="104">
        <v>7</v>
      </c>
      <c r="F73" s="104" t="str">
        <f>IFERROR(VLOOKUP(Table_ErrorList[[#This Row],[Section '#]],Table_SectionNames[],MATCH(Table_SectionNames[[#Headers],[Name]],Table_SectionNames[#Headers],0),FALSE),"Not found")</f>
        <v>Other Expenses</v>
      </c>
      <c r="G73" s="104"/>
      <c r="H73" s="107" t="str">
        <f>IFERROR(VLOOKUP(Table_ErrorList[[#This Row],[Attention To Named Range]],Table_NamedRanges[],MATCH(Table_NamedRanges[[#Headers],[Reference Type]],Table_NamedRanges[#Headers],0),FALSE),"Error")</f>
        <v>Single Cell</v>
      </c>
      <c r="I73" s="102" t="s">
        <v>517</v>
      </c>
      <c r="J73" s="107" t="str">
        <f>IF(Table_ErrorList[[#This Row],[Manual Reference]]="",Table_ErrorList[[#This Row],[''Attention To'' Refence]],Table_ErrorList[[#This Row],[Manual Reference]])&amp;","</f>
        <v>$I$27,</v>
      </c>
      <c r="K73" s="107" t="str">
        <f>SUBSTITUTE(SUBSTITUTE(VLOOKUP(Table_ErrorList[[#This Row],[Attention To Named Range]],Table_NamedRanges[],MATCH(Table_NamedRanges[[#Headers],[Reference Text]],Table_NamedRanges[#Headers],0),FALSE),"=",""),"'Travel Expense Summary'!","")</f>
        <v>$I$27</v>
      </c>
      <c r="L73" s="107"/>
      <c r="M73" s="85" t="s">
        <v>1216</v>
      </c>
      <c r="N73" s="85" t="s">
        <v>1227</v>
      </c>
      <c r="O73" s="85" t="b">
        <v>1</v>
      </c>
      <c r="P73" s="106" t="s">
        <v>1228</v>
      </c>
      <c r="Q73" s="106" t="s">
        <v>1229</v>
      </c>
      <c r="R73"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73" s="85"/>
      <c r="T73" s="107" t="str">
        <f>IF(LEN(Table_ErrorList[[#This Row],[Message Bar Display]])&gt;$U$5,"Too Long, Characters = "&amp;LEN(Table_ErrorList[[#This Row],[Message Bar Display]])," ")</f>
        <v xml:space="preserve"> </v>
      </c>
      <c r="U73" s="107" t="str">
        <f>IF(LEN(Table_ErrorList[[#This Row],[Details Explanation (Line '#1)]])&gt;$U$5,"Too Long, Characters = "&amp;LEN(Table_ErrorList[[#This Row],[Details Explanation (Line '#1)]])," ")</f>
        <v xml:space="preserve"> </v>
      </c>
      <c r="V73" s="107" t="str">
        <f>IF(LEN(Table_ErrorList[[#This Row],[Details Explanation (Line '#2)]])&gt;$U$5,"Too Long, Characters = "&amp;LEN(Table_ErrorList[[#This Row],[Details Explanation (Line '#2)]])," ")</f>
        <v xml:space="preserve"> </v>
      </c>
    </row>
    <row r="74" spans="1:22" s="32" customFormat="1" ht="33.75" x14ac:dyDescent="0.25">
      <c r="A74" s="107" t="b">
        <f>AND(
OR(Others_Expense01=0,Others_Expense01="",Others_Expense01=Dropdown_NotSelectedValue),
COUNTA(Others_Date01,Others_Desc01, Others_From01, Others_To01, Others_Receipt01, Others_KM01)&gt;0)</f>
        <v>0</v>
      </c>
      <c r="B74" s="107">
        <f ca="1">IFERROR(INDIRECT(Table_ErrorList[[#This Row],[Attention To Named Range]]),"Error")</f>
        <v>0</v>
      </c>
      <c r="C74" s="102">
        <v>710</v>
      </c>
      <c r="D74" s="102" t="str">
        <f ca="1">IF(Table_ErrorList[[#This Row],[Manual Hierarchy]]="",CONCATENATE(TEXT(Table_ErrorList[[#This Row],[Section '#]],"00"),"-",TEXT(COUNTIF($E74:OFFSET(Table_ErrorList[[#Headers],[Section '#]],1,0,1,1),Table_ErrorList[[#This Row],[Section '#]]),"000")),Table_ErrorList[[#This Row],[Manual Hierarchy]])</f>
        <v>07-003</v>
      </c>
      <c r="E74" s="104">
        <v>7</v>
      </c>
      <c r="F74" s="104" t="str">
        <f>IFERROR(VLOOKUP(Table_ErrorList[[#This Row],[Section '#]],Table_SectionNames[],MATCH(Table_SectionNames[[#Headers],[Name]],Table_SectionNames[#Headers],0),FALSE),"Not found")</f>
        <v>Other Expenses</v>
      </c>
      <c r="G74" s="104"/>
      <c r="H74" s="107" t="str">
        <f>IFERROR(VLOOKUP(Table_ErrorList[[#This Row],[Attention To Named Range]],Table_NamedRanges[],MATCH(Table_NamedRanges[[#Headers],[Reference Type]],Table_NamedRanges[#Headers],0),FALSE),"Error")</f>
        <v>Single Cell</v>
      </c>
      <c r="I74" s="102" t="s">
        <v>571</v>
      </c>
      <c r="J74" s="107" t="str">
        <f>IF(Table_ErrorList[[#This Row],[Manual Reference]]="",Table_ErrorList[[#This Row],[''Attention To'' Refence]],Table_ErrorList[[#This Row],[Manual Reference]])&amp;","</f>
        <v>$K$27,</v>
      </c>
      <c r="K74" s="107" t="str">
        <f>SUBSTITUTE(SUBSTITUTE(VLOOKUP(Table_ErrorList[[#This Row],[Attention To Named Range]],Table_NamedRanges[],MATCH(Table_NamedRanges[[#Headers],[Reference Text]],Table_NamedRanges[#Headers],0),FALSE),"=",""),"'Travel Expense Summary'!","")</f>
        <v>$K$27</v>
      </c>
      <c r="L74" s="107"/>
      <c r="M74" s="85" t="s">
        <v>703</v>
      </c>
      <c r="N74" s="85" t="s">
        <v>704</v>
      </c>
      <c r="O74" s="85" t="b">
        <v>1</v>
      </c>
      <c r="P74" s="106" t="s">
        <v>705</v>
      </c>
      <c r="Q74" s="106" t="s">
        <v>708</v>
      </c>
      <c r="R74" s="109"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74" s="85" t="b">
        <v>1</v>
      </c>
      <c r="T74" s="85" t="str">
        <f>IF(LEN(Table_ErrorList[[#This Row],[Message Bar Display]])&gt;$U$5,"Too Long, Characters = "&amp;LEN(Table_ErrorList[[#This Row],[Message Bar Display]])," ")</f>
        <v xml:space="preserve"> </v>
      </c>
      <c r="U74" s="85" t="str">
        <f>IF(LEN(Table_ErrorList[[#This Row],[Details Explanation (Line '#1)]])&gt;$U$5,"Too Long, Characters = "&amp;LEN(Table_ErrorList[[#This Row],[Details Explanation (Line '#1)]])," ")</f>
        <v xml:space="preserve"> </v>
      </c>
      <c r="V74" s="85" t="str">
        <f>IF(LEN(Table_ErrorList[[#This Row],[Details Explanation (Line '#2)]])&gt;$U$5,"Too Long, Characters = "&amp;LEN(Table_ErrorList[[#This Row],[Details Explanation (Line '#2)]])," ")</f>
        <v xml:space="preserve"> </v>
      </c>
    </row>
    <row r="75" spans="1:22" s="32" customFormat="1" ht="30" x14ac:dyDescent="0.25">
      <c r="A75" s="107" t="b">
        <f>IF(AND(ISBLANK(Others_Expense01)=FALSE,Others_Expense01&lt;&gt;Dropdown_NotSelectedValue),IFERROR(NOT(MATCH(Others_Expense01,Dropdown_Expenses,0)&gt;0),TRUE),FALSE)</f>
        <v>0</v>
      </c>
      <c r="B75" s="107">
        <f ca="1">IFERROR(INDIRECT(Table_ErrorList[[#This Row],[Attention To Named Range]]),"Error")</f>
        <v>0</v>
      </c>
      <c r="C75" s="102">
        <v>711</v>
      </c>
      <c r="D75" s="102" t="str">
        <f ca="1">IF(Table_ErrorList[[#This Row],[Manual Hierarchy]]="",CONCATENATE(TEXT(Table_ErrorList[[#This Row],[Section '#]],"00"),"-",TEXT(COUNTIF($E75:OFFSET(Table_ErrorList[[#Headers],[Section '#]],1,0,1,1),Table_ErrorList[[#This Row],[Section '#]]),"000")),Table_ErrorList[[#This Row],[Manual Hierarchy]])</f>
        <v>07-004</v>
      </c>
      <c r="E75" s="104">
        <v>7</v>
      </c>
      <c r="F75" s="104" t="str">
        <f>IFERROR(VLOOKUP(Table_ErrorList[[#This Row],[Section '#]],Table_SectionNames[],MATCH(Table_SectionNames[[#Headers],[Name]],Table_SectionNames[#Headers],0),FALSE),"Not found")</f>
        <v>Other Expenses</v>
      </c>
      <c r="G75" s="104"/>
      <c r="H75" s="107" t="str">
        <f>IFERROR(VLOOKUP(Table_ErrorList[[#This Row],[Attention To Named Range]],Table_NamedRanges[],MATCH(Table_NamedRanges[[#Headers],[Reference Type]],Table_NamedRanges[#Headers],0),FALSE),"Error")</f>
        <v>Single Cell</v>
      </c>
      <c r="I75" s="102" t="s">
        <v>571</v>
      </c>
      <c r="J75" s="107" t="str">
        <f>IF(Table_ErrorList[[#This Row],[Manual Reference]]="",Table_ErrorList[[#This Row],[''Attention To'' Refence]],Table_ErrorList[[#This Row],[Manual Reference]])&amp;","</f>
        <v>$K$27,</v>
      </c>
      <c r="K75" s="107" t="str">
        <f>SUBSTITUTE(SUBSTITUTE(VLOOKUP(Table_ErrorList[[#This Row],[Attention To Named Range]],Table_NamedRanges[],MATCH(Table_NamedRanges[[#Headers],[Reference Text]],Table_NamedRanges[#Headers],0),FALSE),"=",""),"'Travel Expense Summary'!","")</f>
        <v>$K$27</v>
      </c>
      <c r="L75" s="107"/>
      <c r="M75" s="85" t="s">
        <v>1233</v>
      </c>
      <c r="N75" s="85" t="s">
        <v>1240</v>
      </c>
      <c r="O75" s="85" t="b">
        <v>1</v>
      </c>
      <c r="P75" s="106" t="s">
        <v>1241</v>
      </c>
      <c r="Q75" s="106" t="s">
        <v>1232</v>
      </c>
      <c r="R75"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75" s="85" t="b">
        <v>1</v>
      </c>
      <c r="T75" s="107" t="str">
        <f>IF(LEN(Table_ErrorList[[#This Row],[Message Bar Display]])&gt;$U$5,"Too Long, Characters = "&amp;LEN(Table_ErrorList[[#This Row],[Message Bar Display]])," ")</f>
        <v xml:space="preserve"> </v>
      </c>
      <c r="U75" s="107" t="str">
        <f>IF(LEN(Table_ErrorList[[#This Row],[Details Explanation (Line '#1)]])&gt;$U$5,"Too Long, Characters = "&amp;LEN(Table_ErrorList[[#This Row],[Details Explanation (Line '#1)]])," ")</f>
        <v xml:space="preserve"> </v>
      </c>
      <c r="V75" s="107" t="str">
        <f>IF(LEN(Table_ErrorList[[#This Row],[Details Explanation (Line '#2)]])&gt;$U$5,"Too Long, Characters = "&amp;LEN(Table_ErrorList[[#This Row],[Details Explanation (Line '#2)]])," ")</f>
        <v xml:space="preserve"> </v>
      </c>
    </row>
    <row r="76" spans="1:22" s="32" customFormat="1" ht="30" x14ac:dyDescent="0.25">
      <c r="A76" s="107" t="e">
        <f>AND(
VLOOKUP(Others_Expense01,Table_Expenses[],MATCH(Table_Expenses[[#Headers],[DescriptionRequired]],Table_Expenses[#Headers],0),FALSE),
OR(Others_Desc01=0,Others_Desc01="",Others_Desc01=Dropdown_NotSelectedValue),
COUNTA(Others_Date01,Others_Expense01,, Others_From01, Others_To01, Others_Receipt01, Others_KM01)&gt;0)</f>
        <v>#N/A</v>
      </c>
      <c r="B76" s="107">
        <f ca="1">IFERROR(INDIRECT(Table_ErrorList[[#This Row],[Attention To Named Range]]),"Error")</f>
        <v>0</v>
      </c>
      <c r="C76" s="102">
        <v>720</v>
      </c>
      <c r="D76" s="102" t="str">
        <f ca="1">IF(Table_ErrorList[[#This Row],[Manual Hierarchy]]="",CONCATENATE(TEXT(Table_ErrorList[[#This Row],[Section '#]],"00"),"-",TEXT(COUNTIF($E76:OFFSET(Table_ErrorList[[#Headers],[Section '#]],1,0,1,1),Table_ErrorList[[#This Row],[Section '#]]),"000")),Table_ErrorList[[#This Row],[Manual Hierarchy]])</f>
        <v>07-005</v>
      </c>
      <c r="E76" s="104">
        <v>7</v>
      </c>
      <c r="F76" s="104" t="str">
        <f>IFERROR(VLOOKUP(Table_ErrorList[[#This Row],[Section '#]],Table_SectionNames[],MATCH(Table_SectionNames[[#Headers],[Name]],Table_SectionNames[#Headers],0),FALSE),"Not found")</f>
        <v>Other Expenses</v>
      </c>
      <c r="G76" s="104"/>
      <c r="H76" s="107" t="str">
        <f>IFERROR(VLOOKUP(Table_ErrorList[[#This Row],[Attention To Named Range]],Table_NamedRanges[],MATCH(Table_NamedRanges[[#Headers],[Reference Type]],Table_NamedRanges[#Headers],0),FALSE),"Error")</f>
        <v>Single Cell</v>
      </c>
      <c r="I76" s="102" t="s">
        <v>573</v>
      </c>
      <c r="J76" s="107" t="str">
        <f>IF(Table_ErrorList[[#This Row],[Manual Reference]]="",Table_ErrorList[[#This Row],[''Attention To'' Refence]],Table_ErrorList[[#This Row],[Manual Reference]])&amp;","</f>
        <v>$M$27,</v>
      </c>
      <c r="K76" s="107" t="str">
        <f>SUBSTITUTE(SUBSTITUTE(VLOOKUP(Table_ErrorList[[#This Row],[Attention To Named Range]],Table_NamedRanges[],MATCH(Table_NamedRanges[[#Headers],[Reference Text]],Table_NamedRanges[#Headers],0),FALSE),"=",""),"'Travel Expense Summary'!","")</f>
        <v>$M$27</v>
      </c>
      <c r="L76" s="107"/>
      <c r="M76" s="85" t="s">
        <v>706</v>
      </c>
      <c r="N76" s="85" t="s">
        <v>707</v>
      </c>
      <c r="O76" s="85" t="b">
        <v>1</v>
      </c>
      <c r="P76" s="106" t="s">
        <v>894</v>
      </c>
      <c r="Q76" s="106" t="s">
        <v>979</v>
      </c>
      <c r="R76" s="109"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76" s="85" t="b">
        <v>1</v>
      </c>
      <c r="T76" s="85" t="str">
        <f>IF(LEN(Table_ErrorList[[#This Row],[Message Bar Display]])&gt;$U$5,"Too Long, Characters = "&amp;LEN(Table_ErrorList[[#This Row],[Message Bar Display]])," ")</f>
        <v xml:space="preserve"> </v>
      </c>
      <c r="U76" s="85" t="str">
        <f>IF(LEN(Table_ErrorList[[#This Row],[Details Explanation (Line '#1)]])&gt;$U$5,"Too Long, Characters = "&amp;LEN(Table_ErrorList[[#This Row],[Details Explanation (Line '#1)]])," ")</f>
        <v xml:space="preserve"> </v>
      </c>
      <c r="V76" s="85" t="str">
        <f>IF(LEN(Table_ErrorList[[#This Row],[Details Explanation (Line '#2)]])&gt;$U$5,"Too Long, Characters = "&amp;LEN(Table_ErrorList[[#This Row],[Details Explanation (Line '#2)]])," ")</f>
        <v xml:space="preserve"> </v>
      </c>
    </row>
    <row r="77" spans="1:22" s="32" customFormat="1" ht="30" x14ac:dyDescent="0.25">
      <c r="A77" s="107" t="e">
        <f>AND(
VLOOKUP(Others_Expense01,Table_Expenses[],MATCH(Table_Expenses[[#Headers],[FromRequired]],Table_Expenses[#Headers],0),FALSE),
OR(Others_From01=0,Others_From01="",Others_From01=Dropdown_NotSelectedValue),
COUNTA(Others_Date01,Others_Expense01,Others_Desc01, Others_To01, Others_Receipt01, Others_KM01)&gt;0)</f>
        <v>#N/A</v>
      </c>
      <c r="B77" s="107">
        <f ca="1">IFERROR(INDIRECT(Table_ErrorList[[#This Row],[Attention To Named Range]]),"Error")</f>
        <v>0</v>
      </c>
      <c r="C77" s="102">
        <v>730</v>
      </c>
      <c r="D77" s="102" t="str">
        <f ca="1">IF(Table_ErrorList[[#This Row],[Manual Hierarchy]]="",CONCATENATE(TEXT(Table_ErrorList[[#This Row],[Section '#]],"00"),"-",TEXT(COUNTIF($E77:OFFSET(Table_ErrorList[[#Headers],[Section '#]],1,0,1,1),Table_ErrorList[[#This Row],[Section '#]]),"000")),Table_ErrorList[[#This Row],[Manual Hierarchy]])</f>
        <v>07-006</v>
      </c>
      <c r="E77" s="104">
        <v>7</v>
      </c>
      <c r="F77" s="104" t="str">
        <f>IFERROR(VLOOKUP(Table_ErrorList[[#This Row],[Section '#]],Table_SectionNames[],MATCH(Table_SectionNames[[#Headers],[Name]],Table_SectionNames[#Headers],0),FALSE),"Not found")</f>
        <v>Other Expenses</v>
      </c>
      <c r="G77" s="104"/>
      <c r="H77" s="107" t="str">
        <f>IFERROR(VLOOKUP(Table_ErrorList[[#This Row],[Attention To Named Range]],Table_NamedRanges[],MATCH(Table_NamedRanges[[#Headers],[Reference Type]],Table_NamedRanges[#Headers],0),FALSE),"Error")</f>
        <v>Single Cell</v>
      </c>
      <c r="I77" s="102" t="s">
        <v>616</v>
      </c>
      <c r="J77" s="107" t="str">
        <f>IF(Table_ErrorList[[#This Row],[Manual Reference]]="",Table_ErrorList[[#This Row],[''Attention To'' Refence]],Table_ErrorList[[#This Row],[Manual Reference]])&amp;","</f>
        <v>$R$27,</v>
      </c>
      <c r="K77" s="107" t="str">
        <f>SUBSTITUTE(SUBSTITUTE(VLOOKUP(Table_ErrorList[[#This Row],[Attention To Named Range]],Table_NamedRanges[],MATCH(Table_NamedRanges[[#Headers],[Reference Text]],Table_NamedRanges[#Headers],0),FALSE),"=",""),"'Travel Expense Summary'!","")</f>
        <v>$R$27</v>
      </c>
      <c r="L77" s="107"/>
      <c r="M77" s="85" t="s">
        <v>710</v>
      </c>
      <c r="N77" s="85" t="s">
        <v>984</v>
      </c>
      <c r="O77" s="85" t="b">
        <v>1</v>
      </c>
      <c r="P77" s="106" t="s">
        <v>980</v>
      </c>
      <c r="Q77" s="106" t="s">
        <v>981</v>
      </c>
      <c r="R77" s="109"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77" s="85" t="b">
        <v>1</v>
      </c>
      <c r="T77" s="85" t="str">
        <f>IF(LEN(Table_ErrorList[[#This Row],[Message Bar Display]])&gt;$U$5,"Too Long, Characters = "&amp;LEN(Table_ErrorList[[#This Row],[Message Bar Display]])," ")</f>
        <v xml:space="preserve"> </v>
      </c>
      <c r="U77" s="85" t="str">
        <f>IF(LEN(Table_ErrorList[[#This Row],[Details Explanation (Line '#1)]])&gt;$U$5,"Too Long, Characters = "&amp;LEN(Table_ErrorList[[#This Row],[Details Explanation (Line '#1)]])," ")</f>
        <v xml:space="preserve"> </v>
      </c>
      <c r="V77" s="85" t="str">
        <f>IF(LEN(Table_ErrorList[[#This Row],[Details Explanation (Line '#2)]])&gt;$U$5,"Too Long, Characters = "&amp;LEN(Table_ErrorList[[#This Row],[Details Explanation (Line '#2)]])," ")</f>
        <v xml:space="preserve"> </v>
      </c>
    </row>
    <row r="78" spans="1:22" s="32" customFormat="1" ht="30" x14ac:dyDescent="0.25">
      <c r="A78" s="107" t="e">
        <f>AND(
VLOOKUP(Others_Expense01,Table_Expenses[],MATCH(Table_Expenses[[#Headers],[ToRequired]],Table_Expenses[#Headers],0),FALSE),
OR(Others_To01=0,Others_To01="",Others_To01=Dropdown_NotSelectedValue),
COUNTA(Others_Date01,Others_Expense01,Others_Desc01, Others_From01, Others_Receipt01, Others_KM01)&gt;0)</f>
        <v>#N/A</v>
      </c>
      <c r="B78" s="107">
        <f ca="1">IFERROR(INDIRECT(Table_ErrorList[[#This Row],[Attention To Named Range]]),"Error")</f>
        <v>0</v>
      </c>
      <c r="C78" s="102">
        <v>740</v>
      </c>
      <c r="D78" s="102" t="str">
        <f ca="1">IF(Table_ErrorList[[#This Row],[Manual Hierarchy]]="",CONCATENATE(TEXT(Table_ErrorList[[#This Row],[Section '#]],"00"),"-",TEXT(COUNTIF($E78:OFFSET(Table_ErrorList[[#Headers],[Section '#]],1,0,1,1),Table_ErrorList[[#This Row],[Section '#]]),"000")),Table_ErrorList[[#This Row],[Manual Hierarchy]])</f>
        <v>07-007</v>
      </c>
      <c r="E78" s="104">
        <v>7</v>
      </c>
      <c r="F78" s="104" t="str">
        <f>IFERROR(VLOOKUP(Table_ErrorList[[#This Row],[Section '#]],Table_SectionNames[],MATCH(Table_SectionNames[[#Headers],[Name]],Table_SectionNames[#Headers],0),FALSE),"Not found")</f>
        <v>Other Expenses</v>
      </c>
      <c r="G78" s="104"/>
      <c r="H78" s="107" t="str">
        <f>IFERROR(VLOOKUP(Table_ErrorList[[#This Row],[Attention To Named Range]],Table_NamedRanges[],MATCH(Table_NamedRanges[[#Headers],[Reference Type]],Table_NamedRanges[#Headers],0),FALSE),"Error")</f>
        <v>Single Cell</v>
      </c>
      <c r="I78" s="102" t="s">
        <v>682</v>
      </c>
      <c r="J78" s="107" t="str">
        <f>IF(Table_ErrorList[[#This Row],[Manual Reference]]="",Table_ErrorList[[#This Row],[''Attention To'' Refence]],Table_ErrorList[[#This Row],[Manual Reference]])&amp;","</f>
        <v>$T$27,</v>
      </c>
      <c r="K78" s="107" t="str">
        <f>SUBSTITUTE(SUBSTITUTE(VLOOKUP(Table_ErrorList[[#This Row],[Attention To Named Range]],Table_NamedRanges[],MATCH(Table_NamedRanges[[#Headers],[Reference Text]],Table_NamedRanges[#Headers],0),FALSE),"=",""),"'Travel Expense Summary'!","")</f>
        <v>$T$27</v>
      </c>
      <c r="L78" s="107"/>
      <c r="M78" s="85" t="s">
        <v>711</v>
      </c>
      <c r="N78" s="85" t="s">
        <v>982</v>
      </c>
      <c r="O78" s="85" t="b">
        <v>1</v>
      </c>
      <c r="P78" s="106" t="s">
        <v>983</v>
      </c>
      <c r="Q78" s="106" t="s">
        <v>981</v>
      </c>
      <c r="R78" s="109"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78" s="85" t="b">
        <v>1</v>
      </c>
      <c r="T78" s="85" t="str">
        <f>IF(LEN(Table_ErrorList[[#This Row],[Message Bar Display]])&gt;$U$5,"Too Long, Characters = "&amp;LEN(Table_ErrorList[[#This Row],[Message Bar Display]])," ")</f>
        <v xml:space="preserve"> </v>
      </c>
      <c r="U78" s="85" t="str">
        <f>IF(LEN(Table_ErrorList[[#This Row],[Details Explanation (Line '#1)]])&gt;$U$5,"Too Long, Characters = "&amp;LEN(Table_ErrorList[[#This Row],[Details Explanation (Line '#1)]])," ")</f>
        <v xml:space="preserve"> </v>
      </c>
      <c r="V78" s="85" t="str">
        <f>IF(LEN(Table_ErrorList[[#This Row],[Details Explanation (Line '#2)]])&gt;$U$5,"Too Long, Characters = "&amp;LEN(Table_ErrorList[[#This Row],[Details Explanation (Line '#2)]])," ")</f>
        <v xml:space="preserve"> </v>
      </c>
    </row>
    <row r="79" spans="1:22" s="32" customFormat="1" ht="33.75" x14ac:dyDescent="0.25">
      <c r="A79" s="107" t="e">
        <f>AND(
VLOOKUP(Others_Expense01,Table_Expenses[],MATCH(Table_Expenses[[#Headers],[ReceiptRequired]],Table_Expenses[#Headers],0),FALSE),
OR(Others_Receipt01=0,Others_Receipt01="",Others_Receipt01=Dropdown_NotSelectedValue),
COUNTA(Others_Date01,Others_Expense01,Others_Desc01, Others_From01, Others_To01, Others_KM01)&gt;0)</f>
        <v>#N/A</v>
      </c>
      <c r="B79" s="107">
        <f ca="1">IFERROR(INDIRECT(Table_ErrorList[[#This Row],[Attention To Named Range]]),"Error")</f>
        <v>0</v>
      </c>
      <c r="C79" s="102">
        <v>750</v>
      </c>
      <c r="D79" s="102" t="str">
        <f ca="1">IF(Table_ErrorList[[#This Row],[Manual Hierarchy]]="",CONCATENATE(TEXT(Table_ErrorList[[#This Row],[Section '#]],"00"),"-",TEXT(COUNTIF($E79:OFFSET(Table_ErrorList[[#Headers],[Section '#]],1,0,1,1),Table_ErrorList[[#This Row],[Section '#]]),"000")),Table_ErrorList[[#This Row],[Manual Hierarchy]])</f>
        <v>07-008</v>
      </c>
      <c r="E79" s="104">
        <v>7</v>
      </c>
      <c r="F79" s="104" t="str">
        <f>IFERROR(VLOOKUP(Table_ErrorList[[#This Row],[Section '#]],Table_SectionNames[],MATCH(Table_SectionNames[[#Headers],[Name]],Table_SectionNames[#Headers],0),FALSE),"Not found")</f>
        <v>Other Expenses</v>
      </c>
      <c r="G79" s="104"/>
      <c r="H79" s="107" t="str">
        <f>IFERROR(VLOOKUP(Table_ErrorList[[#This Row],[Attention To Named Range]],Table_NamedRanges[],MATCH(Table_NamedRanges[[#Headers],[Reference Type]],Table_NamedRanges[#Headers],0),FALSE),"Error")</f>
        <v>Single Cell</v>
      </c>
      <c r="I79" s="102" t="s">
        <v>660</v>
      </c>
      <c r="J79" s="107" t="str">
        <f>IF(Table_ErrorList[[#This Row],[Manual Reference]]="",Table_ErrorList[[#This Row],[''Attention To'' Refence]],Table_ErrorList[[#This Row],[Manual Reference]])&amp;","</f>
        <v>$X$27,</v>
      </c>
      <c r="K79" s="107" t="str">
        <f>SUBSTITUTE(SUBSTITUTE(VLOOKUP(Table_ErrorList[[#This Row],[Attention To Named Range]],Table_NamedRanges[],MATCH(Table_NamedRanges[[#Headers],[Reference Text]],Table_NamedRanges[#Headers],0),FALSE),"=",""),"'Travel Expense Summary'!","")</f>
        <v>$X$27</v>
      </c>
      <c r="L79" s="107"/>
      <c r="M79" s="85" t="s">
        <v>712</v>
      </c>
      <c r="N79" s="85" t="s">
        <v>714</v>
      </c>
      <c r="O79" s="85" t="b">
        <v>1</v>
      </c>
      <c r="P79" s="106" t="s">
        <v>1079</v>
      </c>
      <c r="Q79" s="106" t="s">
        <v>728</v>
      </c>
      <c r="R79" s="109"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79" s="85" t="b">
        <v>1</v>
      </c>
      <c r="T79" s="85" t="str">
        <f>IF(LEN(Table_ErrorList[[#This Row],[Message Bar Display]])&gt;$U$5,"Too Long, Characters = "&amp;LEN(Table_ErrorList[[#This Row],[Message Bar Display]])," ")</f>
        <v xml:space="preserve"> </v>
      </c>
      <c r="U79" s="85" t="str">
        <f>IF(LEN(Table_ErrorList[[#This Row],[Details Explanation (Line '#1)]])&gt;$U$5,"Too Long, Characters = "&amp;LEN(Table_ErrorList[[#This Row],[Details Explanation (Line '#1)]])," ")</f>
        <v xml:space="preserve"> </v>
      </c>
      <c r="V79" s="85" t="str">
        <f>IF(LEN(Table_ErrorList[[#This Row],[Details Explanation (Line '#2)]])&gt;$U$5,"Too Long, Characters = "&amp;LEN(Table_ErrorList[[#This Row],[Details Explanation (Line '#2)]])," ")</f>
        <v xml:space="preserve"> </v>
      </c>
    </row>
    <row r="80" spans="1:22" s="32" customFormat="1" ht="45" x14ac:dyDescent="0.25">
      <c r="A80" s="107" t="e">
        <f>AND(
VLOOKUP(Others_Expense01,Table_Expenses[],MATCH(Table_Expenses[[#Headers],[KMRequired]],Table_Expenses[#Headers],0),FALSE),
OR(Others_KM01=0,Others_KM01="",Others_KM01=Dropdown_NotSelectedValue),
COUNTA(Others_Date01,Others_Expense01,Others_Desc01, Others_From01, Others_To01, Others_Receipt01)&gt;0)</f>
        <v>#N/A</v>
      </c>
      <c r="B80" s="107">
        <f ca="1">IFERROR(INDIRECT(Table_ErrorList[[#This Row],[Attention To Named Range]]),"Error")</f>
        <v>0</v>
      </c>
      <c r="C80" s="102">
        <v>760</v>
      </c>
      <c r="D80" s="102" t="str">
        <f ca="1">IF(Table_ErrorList[[#This Row],[Manual Hierarchy]]="",CONCATENATE(TEXT(Table_ErrorList[[#This Row],[Section '#]],"00"),"-",TEXT(COUNTIF($E80:OFFSET(Table_ErrorList[[#Headers],[Section '#]],1,0,1,1),Table_ErrorList[[#This Row],[Section '#]]),"000")),Table_ErrorList[[#This Row],[Manual Hierarchy]])</f>
        <v>07-009</v>
      </c>
      <c r="E80" s="104">
        <v>7</v>
      </c>
      <c r="F80" s="104" t="str">
        <f>IFERROR(VLOOKUP(Table_ErrorList[[#This Row],[Section '#]],Table_SectionNames[],MATCH(Table_SectionNames[[#Headers],[Name]],Table_SectionNames[#Headers],0),FALSE),"Not found")</f>
        <v>Other Expenses</v>
      </c>
      <c r="G80" s="104"/>
      <c r="H80" s="107" t="str">
        <f>IFERROR(VLOOKUP(Table_ErrorList[[#This Row],[Attention To Named Range]],Table_NamedRanges[],MATCH(Table_NamedRanges[[#Headers],[Reference Type]],Table_NamedRanges[#Headers],0),FALSE),"Error")</f>
        <v>Single Cell</v>
      </c>
      <c r="I80" s="102" t="s">
        <v>638</v>
      </c>
      <c r="J80" s="107" t="str">
        <f>IF(Table_ErrorList[[#This Row],[Manual Reference]]="",Table_ErrorList[[#This Row],[''Attention To'' Refence]],Table_ErrorList[[#This Row],[Manual Reference]])&amp;","</f>
        <v>$Y$27,</v>
      </c>
      <c r="K80" s="107" t="str">
        <f>SUBSTITUTE(SUBSTITUTE(VLOOKUP(Table_ErrorList[[#This Row],[Attention To Named Range]],Table_NamedRanges[],MATCH(Table_NamedRanges[[#Headers],[Reference Text]],Table_NamedRanges[#Headers],0),FALSE),"=",""),"'Travel Expense Summary'!","")</f>
        <v>$Y$27</v>
      </c>
      <c r="L80" s="107"/>
      <c r="M80" s="85" t="s">
        <v>713</v>
      </c>
      <c r="N80" s="85" t="s">
        <v>715</v>
      </c>
      <c r="O80" s="85" t="b">
        <v>1</v>
      </c>
      <c r="P80" s="106" t="s">
        <v>1080</v>
      </c>
      <c r="Q80" s="106" t="s">
        <v>1081</v>
      </c>
      <c r="R80" s="109" t="str">
        <f>CONCATENATE(Table_ErrorList[[#This Row],[Details Explanation (Line '#1)]],IF(Table_ErrorList[[#This Row],[Details Explanation (Line '#2)]]&lt;&gt;"",CHAR(10)&amp;Table_ErrorList[[#This Row],[Details Explanation (Line '#2)]],""))</f>
        <v>Enter 'KMs Travelled' for the item listed. You can claim the roundtrip KMs on a single line or claim each leg of your trip on separate lines. 
Consult the 'Kilometer Matrix' for pre-established distances between most communities. KMs should be rounded to the nearest full KM.</v>
      </c>
      <c r="S80" s="85" t="b">
        <v>1</v>
      </c>
      <c r="T80" s="85" t="str">
        <f>IF(LEN(Table_ErrorList[[#This Row],[Message Bar Display]])&gt;$U$5,"Too Long, Characters = "&amp;LEN(Table_ErrorList[[#This Row],[Message Bar Display]])," ")</f>
        <v xml:space="preserve"> </v>
      </c>
      <c r="U80" s="85" t="str">
        <f>IF(LEN(Table_ErrorList[[#This Row],[Details Explanation (Line '#1)]])&gt;$U$5,"Too Long, Characters = "&amp;LEN(Table_ErrorList[[#This Row],[Details Explanation (Line '#1)]])," ")</f>
        <v xml:space="preserve"> </v>
      </c>
      <c r="V80" s="85" t="str">
        <f>IF(LEN(Table_ErrorList[[#This Row],[Details Explanation (Line '#2)]])&gt;$U$5,"Too Long, Characters = "&amp;LEN(Table_ErrorList[[#This Row],[Details Explanation (Line '#2)]])," ")</f>
        <v xml:space="preserve"> </v>
      </c>
    </row>
    <row r="81" spans="1:22" s="32" customFormat="1" ht="30" x14ac:dyDescent="0.25">
      <c r="A81" s="107" t="b">
        <f>AND(
OR(Others_Date02=0,Others_Date02="",Others_Date02=Dropdown_NotSelectedValue),
COUNTA(Others_Expense02,Others_Desc02, Others_From02, Others_To02, Others_Receipt02, Others_KM02)&gt;0)</f>
        <v>0</v>
      </c>
      <c r="B81" s="107">
        <f ca="1">IFERROR(INDIRECT(Table_ErrorList[[#This Row],[Attention To Named Range]]),"Error")</f>
        <v>0</v>
      </c>
      <c r="C81" s="102">
        <v>800</v>
      </c>
      <c r="D81" s="102" t="str">
        <f ca="1">IF(Table_ErrorList[[#This Row],[Manual Hierarchy]]="",CONCATENATE(TEXT(Table_ErrorList[[#This Row],[Section '#]],"00"),"-",TEXT(COUNTIF($E81:OFFSET(Table_ErrorList[[#Headers],[Section '#]],1,0,1,1),Table_ErrorList[[#This Row],[Section '#]]),"000")),Table_ErrorList[[#This Row],[Manual Hierarchy]])</f>
        <v>07-010</v>
      </c>
      <c r="E81" s="104">
        <v>7</v>
      </c>
      <c r="F81" s="104" t="str">
        <f>IFERROR(VLOOKUP(Table_ErrorList[[#This Row],[Section '#]],Table_SectionNames[],MATCH(Table_SectionNames[[#Headers],[Name]],Table_SectionNames[#Headers],0),FALSE),"Not found")</f>
        <v>Other Expenses</v>
      </c>
      <c r="G81" s="104"/>
      <c r="H81" s="107" t="str">
        <f>IFERROR(VLOOKUP(Table_ErrorList[[#This Row],[Attention To Named Range]],Table_NamedRanges[],MATCH(Table_NamedRanges[[#Headers],[Reference Type]],Table_NamedRanges[#Headers],0),FALSE),"Error")</f>
        <v>Single Cell</v>
      </c>
      <c r="I81" s="102" t="s">
        <v>519</v>
      </c>
      <c r="J81" s="107" t="str">
        <f>IF(Table_ErrorList[[#This Row],[Manual Reference]]="",Table_ErrorList[[#This Row],[''Attention To'' Refence]],Table_ErrorList[[#This Row],[Manual Reference]])&amp;","</f>
        <v>$I$28,</v>
      </c>
      <c r="K81" s="107" t="str">
        <f>SUBSTITUTE(SUBSTITUTE(VLOOKUP(Table_ErrorList[[#This Row],[Attention To Named Range]],Table_NamedRanges[],MATCH(Table_NamedRanges[[#Headers],[Reference Text]],Table_NamedRanges[#Headers],0),FALSE),"=",""),"'Travel Expense Summary'!","")</f>
        <v>$I$28</v>
      </c>
      <c r="L81" s="107"/>
      <c r="M81" s="85" t="s">
        <v>716</v>
      </c>
      <c r="N81" s="85" t="s">
        <v>723</v>
      </c>
      <c r="O81" s="85" t="b">
        <v>1</v>
      </c>
      <c r="P81" s="106" t="s">
        <v>260</v>
      </c>
      <c r="Q81" s="106" t="s">
        <v>261</v>
      </c>
      <c r="R81"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81" s="85" t="b">
        <v>1</v>
      </c>
      <c r="T81" s="85" t="str">
        <f>IF(LEN(Table_ErrorList[[#This Row],[Message Bar Display]])&gt;$U$5,"Too Long, Characters = "&amp;LEN(Table_ErrorList[[#This Row],[Message Bar Display]])," ")</f>
        <v xml:space="preserve"> </v>
      </c>
      <c r="U81" s="85" t="str">
        <f>IF(LEN(Table_ErrorList[[#This Row],[Details Explanation (Line '#1)]])&gt;$U$5,"Too Long, Characters = "&amp;LEN(Table_ErrorList[[#This Row],[Details Explanation (Line '#1)]])," ")</f>
        <v xml:space="preserve"> </v>
      </c>
      <c r="V81" s="85" t="str">
        <f>IF(LEN(Table_ErrorList[[#This Row],[Details Explanation (Line '#2)]])&gt;$U$5,"Too Long, Characters = "&amp;LEN(Table_ErrorList[[#This Row],[Details Explanation (Line '#2)]])," ")</f>
        <v xml:space="preserve"> </v>
      </c>
    </row>
    <row r="82" spans="1:22" s="32" customFormat="1" ht="30" x14ac:dyDescent="0.25">
      <c r="A82" s="107" t="b">
        <f>IF(Others_Date02&gt;0,NOT(AND(Field15_TravelStartDate&lt;=Others_Date02,Field16_TravelEndDate&gt;=Others_Date02)),FALSE)</f>
        <v>0</v>
      </c>
      <c r="B82" s="107">
        <f ca="1">IFERROR(INDIRECT(Table_ErrorList[[#This Row],[Attention To Named Range]]),"Error")</f>
        <v>0</v>
      </c>
      <c r="C82" s="102">
        <v>801</v>
      </c>
      <c r="D82" s="102" t="str">
        <f ca="1">IF(Table_ErrorList[[#This Row],[Manual Hierarchy]]="",CONCATENATE(TEXT(Table_ErrorList[[#This Row],[Section '#]],"00"),"-",TEXT(COUNTIF($E82:OFFSET(Table_ErrorList[[#Headers],[Section '#]],1,0,1,1),Table_ErrorList[[#This Row],[Section '#]]),"000")),Table_ErrorList[[#This Row],[Manual Hierarchy]])</f>
        <v>07-011</v>
      </c>
      <c r="E82" s="104">
        <v>7</v>
      </c>
      <c r="F82" s="104" t="str">
        <f>IFERROR(VLOOKUP(Table_ErrorList[[#This Row],[Section '#]],Table_SectionNames[],MATCH(Table_SectionNames[[#Headers],[Name]],Table_SectionNames[#Headers],0),FALSE),"Not found")</f>
        <v>Other Expenses</v>
      </c>
      <c r="G82" s="104"/>
      <c r="H82" s="107" t="str">
        <f>IFERROR(VLOOKUP(Table_ErrorList[[#This Row],[Attention To Named Range]],Table_NamedRanges[],MATCH(Table_NamedRanges[[#Headers],[Reference Type]],Table_NamedRanges[#Headers],0),FALSE),"Error")</f>
        <v>Single Cell</v>
      </c>
      <c r="I82" s="102" t="s">
        <v>519</v>
      </c>
      <c r="J82" s="107" t="str">
        <f>IF(Table_ErrorList[[#This Row],[Manual Reference]]="",Table_ErrorList[[#This Row],[''Attention To'' Refence]],Table_ErrorList[[#This Row],[Manual Reference]])&amp;","</f>
        <v>$I$28,</v>
      </c>
      <c r="K82" s="107" t="str">
        <f>SUBSTITUTE(SUBSTITUTE(VLOOKUP(Table_ErrorList[[#This Row],[Attention To Named Range]],Table_NamedRanges[],MATCH(Table_NamedRanges[[#Headers],[Reference Text]],Table_NamedRanges[#Headers],0),FALSE),"=",""),"'Travel Expense Summary'!","")</f>
        <v>$I$28</v>
      </c>
      <c r="L82" s="107"/>
      <c r="M82" s="85" t="s">
        <v>1217</v>
      </c>
      <c r="N82" s="85" t="s">
        <v>1227</v>
      </c>
      <c r="O82" s="85" t="b">
        <v>1</v>
      </c>
      <c r="P82" s="106" t="s">
        <v>1228</v>
      </c>
      <c r="Q82" s="106" t="s">
        <v>1229</v>
      </c>
      <c r="R82"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82" s="85"/>
      <c r="T82" s="107" t="str">
        <f>IF(LEN(Table_ErrorList[[#This Row],[Message Bar Display]])&gt;$U$5,"Too Long, Characters = "&amp;LEN(Table_ErrorList[[#This Row],[Message Bar Display]])," ")</f>
        <v xml:space="preserve"> </v>
      </c>
      <c r="U82" s="107" t="str">
        <f>IF(LEN(Table_ErrorList[[#This Row],[Details Explanation (Line '#1)]])&gt;$U$5,"Too Long, Characters = "&amp;LEN(Table_ErrorList[[#This Row],[Details Explanation (Line '#1)]])," ")</f>
        <v xml:space="preserve"> </v>
      </c>
      <c r="V82" s="107" t="str">
        <f>IF(LEN(Table_ErrorList[[#This Row],[Details Explanation (Line '#2)]])&gt;$U$5,"Too Long, Characters = "&amp;LEN(Table_ErrorList[[#This Row],[Details Explanation (Line '#2)]])," ")</f>
        <v xml:space="preserve"> </v>
      </c>
    </row>
    <row r="83" spans="1:22" ht="33.75" x14ac:dyDescent="0.25">
      <c r="A83" s="107" t="b">
        <f>AND(
OR(Others_Expense02=0,Others_Expense02="",Others_Expense02=Dropdown_NotSelectedValue),
COUNTA(Others_Date02,Others_Desc02, Others_From02, Others_To02, Others_Receipt02, Others_KM02)&gt;0)</f>
        <v>0</v>
      </c>
      <c r="B83" s="107">
        <f ca="1">IFERROR(INDIRECT(Table_ErrorList[[#This Row],[Attention To Named Range]]),"Error")</f>
        <v>0</v>
      </c>
      <c r="C83" s="102">
        <v>810</v>
      </c>
      <c r="D83" s="102" t="str">
        <f ca="1">IF(Table_ErrorList[[#This Row],[Manual Hierarchy]]="",CONCATENATE(TEXT(Table_ErrorList[[#This Row],[Section '#]],"00"),"-",TEXT(COUNTIF($E83:OFFSET(Table_ErrorList[[#Headers],[Section '#]],1,0,1,1),Table_ErrorList[[#This Row],[Section '#]]),"000")),Table_ErrorList[[#This Row],[Manual Hierarchy]])</f>
        <v>07-012</v>
      </c>
      <c r="E83" s="104">
        <v>7</v>
      </c>
      <c r="F83" s="104" t="str">
        <f>IFERROR(VLOOKUP(Table_ErrorList[[#This Row],[Section '#]],Table_SectionNames[],MATCH(Table_SectionNames[[#Headers],[Name]],Table_SectionNames[#Headers],0),FALSE),"Not found")</f>
        <v>Other Expenses</v>
      </c>
      <c r="G83" s="104"/>
      <c r="H83" s="107" t="str">
        <f>IFERROR(VLOOKUP(Table_ErrorList[[#This Row],[Attention To Named Range]],Table_NamedRanges[],MATCH(Table_NamedRanges[[#Headers],[Reference Type]],Table_NamedRanges[#Headers],0),FALSE),"Error")</f>
        <v>Single Cell</v>
      </c>
      <c r="I83" s="102" t="s">
        <v>596</v>
      </c>
      <c r="J83" s="107" t="str">
        <f>IF(Table_ErrorList[[#This Row],[Manual Reference]]="",Table_ErrorList[[#This Row],[''Attention To'' Refence]],Table_ErrorList[[#This Row],[Manual Reference]])&amp;","</f>
        <v>$K$28,</v>
      </c>
      <c r="K83" s="107" t="str">
        <f>SUBSTITUTE(SUBSTITUTE(VLOOKUP(Table_ErrorList[[#This Row],[Attention To Named Range]],Table_NamedRanges[],MATCH(Table_NamedRanges[[#Headers],[Reference Text]],Table_NamedRanges[#Headers],0),FALSE),"=",""),"'Travel Expense Summary'!","")</f>
        <v>$K$28</v>
      </c>
      <c r="L83" s="107"/>
      <c r="M83" s="85" t="s">
        <v>717</v>
      </c>
      <c r="N83" s="85" t="s">
        <v>724</v>
      </c>
      <c r="O83" s="85" t="b">
        <v>1</v>
      </c>
      <c r="P83" s="106" t="s">
        <v>705</v>
      </c>
      <c r="Q83" s="106" t="s">
        <v>708</v>
      </c>
      <c r="R83" s="109"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83" s="85" t="b">
        <v>1</v>
      </c>
      <c r="T83" s="85" t="str">
        <f>IF(LEN(Table_ErrorList[[#This Row],[Message Bar Display]])&gt;$U$5,"Too Long, Characters = "&amp;LEN(Table_ErrorList[[#This Row],[Message Bar Display]])," ")</f>
        <v xml:space="preserve"> </v>
      </c>
      <c r="U83" s="85" t="str">
        <f>IF(LEN(Table_ErrorList[[#This Row],[Details Explanation (Line '#1)]])&gt;$U$5,"Too Long, Characters = "&amp;LEN(Table_ErrorList[[#This Row],[Details Explanation (Line '#1)]])," ")</f>
        <v xml:space="preserve"> </v>
      </c>
      <c r="V83" s="85" t="str">
        <f>IF(LEN(Table_ErrorList[[#This Row],[Details Explanation (Line '#2)]])&gt;$U$5,"Too Long, Characters = "&amp;LEN(Table_ErrorList[[#This Row],[Details Explanation (Line '#2)]])," ")</f>
        <v xml:space="preserve"> </v>
      </c>
    </row>
    <row r="84" spans="1:22" s="32" customFormat="1" ht="30" x14ac:dyDescent="0.25">
      <c r="A84" s="107" t="b">
        <f>IF(AND(ISBLANK(Others_Expense02)=FALSE,Others_Expense02&lt;&gt;Dropdown_NotSelectedValue),IFERROR(NOT(MATCH(Others_Expense02,Dropdown_Expenses,0)&gt;0),TRUE),FALSE)</f>
        <v>0</v>
      </c>
      <c r="B84" s="107">
        <f ca="1">IFERROR(INDIRECT(Table_ErrorList[[#This Row],[Attention To Named Range]]),"Error")</f>
        <v>0</v>
      </c>
      <c r="C84" s="102">
        <v>811</v>
      </c>
      <c r="D84" s="102" t="str">
        <f ca="1">IF(Table_ErrorList[[#This Row],[Manual Hierarchy]]="",CONCATENATE(TEXT(Table_ErrorList[[#This Row],[Section '#]],"00"),"-",TEXT(COUNTIF($E84:OFFSET(Table_ErrorList[[#Headers],[Section '#]],1,0,1,1),Table_ErrorList[[#This Row],[Section '#]]),"000")),Table_ErrorList[[#This Row],[Manual Hierarchy]])</f>
        <v>07-013</v>
      </c>
      <c r="E84" s="104">
        <v>7</v>
      </c>
      <c r="F84" s="104" t="str">
        <f>IFERROR(VLOOKUP(Table_ErrorList[[#This Row],[Section '#]],Table_SectionNames[],MATCH(Table_SectionNames[[#Headers],[Name]],Table_SectionNames[#Headers],0),FALSE),"Not found")</f>
        <v>Other Expenses</v>
      </c>
      <c r="G84" s="104"/>
      <c r="H84" s="107" t="str">
        <f>IFERROR(VLOOKUP(Table_ErrorList[[#This Row],[Attention To Named Range]],Table_NamedRanges[],MATCH(Table_NamedRanges[[#Headers],[Reference Type]],Table_NamedRanges[#Headers],0),FALSE),"Error")</f>
        <v>Single Cell</v>
      </c>
      <c r="I84" s="102" t="s">
        <v>596</v>
      </c>
      <c r="J84" s="107" t="str">
        <f>IF(Table_ErrorList[[#This Row],[Manual Reference]]="",Table_ErrorList[[#This Row],[''Attention To'' Refence]],Table_ErrorList[[#This Row],[Manual Reference]])&amp;","</f>
        <v>$K$28,</v>
      </c>
      <c r="K84" s="107" t="str">
        <f>SUBSTITUTE(SUBSTITUTE(VLOOKUP(Table_ErrorList[[#This Row],[Attention To Named Range]],Table_NamedRanges[],MATCH(Table_NamedRanges[[#Headers],[Reference Text]],Table_NamedRanges[#Headers],0),FALSE),"=",""),"'Travel Expense Summary'!","")</f>
        <v>$K$28</v>
      </c>
      <c r="L84" s="107"/>
      <c r="M84" s="85" t="s">
        <v>1234</v>
      </c>
      <c r="N84" s="85" t="s">
        <v>1240</v>
      </c>
      <c r="O84" s="85" t="b">
        <v>1</v>
      </c>
      <c r="P84" s="106" t="s">
        <v>1241</v>
      </c>
      <c r="Q84" s="106" t="s">
        <v>1232</v>
      </c>
      <c r="R84"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84" s="85" t="b">
        <v>1</v>
      </c>
      <c r="T84" s="107" t="str">
        <f>IF(LEN(Table_ErrorList[[#This Row],[Message Bar Display]])&gt;$U$5,"Too Long, Characters = "&amp;LEN(Table_ErrorList[[#This Row],[Message Bar Display]])," ")</f>
        <v xml:space="preserve"> </v>
      </c>
      <c r="U84" s="107" t="str">
        <f>IF(LEN(Table_ErrorList[[#This Row],[Details Explanation (Line '#1)]])&gt;$U$5,"Too Long, Characters = "&amp;LEN(Table_ErrorList[[#This Row],[Details Explanation (Line '#1)]])," ")</f>
        <v xml:space="preserve"> </v>
      </c>
      <c r="V84" s="107" t="str">
        <f>IF(LEN(Table_ErrorList[[#This Row],[Details Explanation (Line '#2)]])&gt;$U$5,"Too Long, Characters = "&amp;LEN(Table_ErrorList[[#This Row],[Details Explanation (Line '#2)]])," ")</f>
        <v xml:space="preserve"> </v>
      </c>
    </row>
    <row r="85" spans="1:22" ht="30" x14ac:dyDescent="0.25">
      <c r="A85" s="107" t="e">
        <f>AND(
VLOOKUP(Others_Expense02,Table_Expenses[],MATCH(Table_Expenses[[#Headers],[DescriptionRequired]],Table_Expenses[#Headers],0),FALSE),
OR(Others_Desc02=0,Others_Desc02="",Others_Desc02=Dropdown_NotSelectedValue),
COUNTA(Others_Date02,Others_Expense02,, Others_From02, Others_To02, Others_Receipt02, Others_KM02)&gt;0)</f>
        <v>#N/A</v>
      </c>
      <c r="B85" s="107">
        <f ca="1">IFERROR(INDIRECT(Table_ErrorList[[#This Row],[Attention To Named Range]]),"Error")</f>
        <v>0</v>
      </c>
      <c r="C85" s="102">
        <v>820</v>
      </c>
      <c r="D85" s="102" t="str">
        <f ca="1">IF(Table_ErrorList[[#This Row],[Manual Hierarchy]]="",CONCATENATE(TEXT(Table_ErrorList[[#This Row],[Section '#]],"00"),"-",TEXT(COUNTIF($E85:OFFSET(Table_ErrorList[[#Headers],[Section '#]],1,0,1,1),Table_ErrorList[[#This Row],[Section '#]]),"000")),Table_ErrorList[[#This Row],[Manual Hierarchy]])</f>
        <v>07-014</v>
      </c>
      <c r="E85" s="104">
        <v>7</v>
      </c>
      <c r="F85" s="104" t="str">
        <f>IFERROR(VLOOKUP(Table_ErrorList[[#This Row],[Section '#]],Table_SectionNames[],MATCH(Table_SectionNames[[#Headers],[Name]],Table_SectionNames[#Headers],0),FALSE),"Not found")</f>
        <v>Other Expenses</v>
      </c>
      <c r="G85" s="104"/>
      <c r="H85" s="107" t="str">
        <f>IFERROR(VLOOKUP(Table_ErrorList[[#This Row],[Attention To Named Range]],Table_NamedRanges[],MATCH(Table_NamedRanges[[#Headers],[Reference Type]],Table_NamedRanges[#Headers],0),FALSE),"Error")</f>
        <v>Single Cell</v>
      </c>
      <c r="I85" s="102" t="s">
        <v>575</v>
      </c>
      <c r="J85" s="107" t="str">
        <f>IF(Table_ErrorList[[#This Row],[Manual Reference]]="",Table_ErrorList[[#This Row],[''Attention To'' Refence]],Table_ErrorList[[#This Row],[Manual Reference]])&amp;","</f>
        <v>$M$28,</v>
      </c>
      <c r="K85" s="107" t="str">
        <f>SUBSTITUTE(SUBSTITUTE(VLOOKUP(Table_ErrorList[[#This Row],[Attention To Named Range]],Table_NamedRanges[],MATCH(Table_NamedRanges[[#Headers],[Reference Text]],Table_NamedRanges[#Headers],0),FALSE),"=",""),"'Travel Expense Summary'!","")</f>
        <v>$M$28</v>
      </c>
      <c r="L85" s="107"/>
      <c r="M85" s="85" t="s">
        <v>718</v>
      </c>
      <c r="N85" s="85" t="s">
        <v>725</v>
      </c>
      <c r="O85" s="85" t="b">
        <v>1</v>
      </c>
      <c r="P85" s="106" t="s">
        <v>894</v>
      </c>
      <c r="Q85" s="106" t="s">
        <v>979</v>
      </c>
      <c r="R85" s="109"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85" s="85" t="b">
        <v>1</v>
      </c>
      <c r="T85" s="85" t="str">
        <f>IF(LEN(Table_ErrorList[[#This Row],[Message Bar Display]])&gt;$U$5,"Too Long, Characters = "&amp;LEN(Table_ErrorList[[#This Row],[Message Bar Display]])," ")</f>
        <v xml:space="preserve"> </v>
      </c>
      <c r="U85" s="85" t="str">
        <f>IF(LEN(Table_ErrorList[[#This Row],[Details Explanation (Line '#1)]])&gt;$U$5,"Too Long, Characters = "&amp;LEN(Table_ErrorList[[#This Row],[Details Explanation (Line '#1)]])," ")</f>
        <v xml:space="preserve"> </v>
      </c>
      <c r="V85" s="85" t="str">
        <f>IF(LEN(Table_ErrorList[[#This Row],[Details Explanation (Line '#2)]])&gt;$U$5,"Too Long, Characters = "&amp;LEN(Table_ErrorList[[#This Row],[Details Explanation (Line '#2)]])," ")</f>
        <v xml:space="preserve"> </v>
      </c>
    </row>
    <row r="86" spans="1:22" ht="30" x14ac:dyDescent="0.25">
      <c r="A86" s="107" t="e">
        <f>AND(
VLOOKUP(Others_Expense02,Table_Expenses[],MATCH(Table_Expenses[[#Headers],[FromRequired]],Table_Expenses[#Headers],0),FALSE),
OR(Others_From02=0,Others_From02="",Others_From02=Dropdown_NotSelectedValue),
COUNTA(Others_Date02,Others_Expense02,Others_Desc02, Others_To02, Others_Receipt02, Others_KM02)&gt;0)</f>
        <v>#N/A</v>
      </c>
      <c r="B86" s="107">
        <f ca="1">IFERROR(INDIRECT(Table_ErrorList[[#This Row],[Attention To Named Range]]),"Error")</f>
        <v>0</v>
      </c>
      <c r="C86" s="102">
        <v>830</v>
      </c>
      <c r="D86" s="102" t="str">
        <f ca="1">IF(Table_ErrorList[[#This Row],[Manual Hierarchy]]="",CONCATENATE(TEXT(Table_ErrorList[[#This Row],[Section '#]],"00"),"-",TEXT(COUNTIF($E86:OFFSET(Table_ErrorList[[#Headers],[Section '#]],1,0,1,1),Table_ErrorList[[#This Row],[Section '#]]),"000")),Table_ErrorList[[#This Row],[Manual Hierarchy]])</f>
        <v>07-015</v>
      </c>
      <c r="E86" s="104">
        <v>7</v>
      </c>
      <c r="F86" s="104" t="str">
        <f>IFERROR(VLOOKUP(Table_ErrorList[[#This Row],[Section '#]],Table_SectionNames[],MATCH(Table_SectionNames[[#Headers],[Name]],Table_SectionNames[#Headers],0),FALSE),"Not found")</f>
        <v>Other Expenses</v>
      </c>
      <c r="G86" s="104"/>
      <c r="H86" s="107" t="str">
        <f>IFERROR(VLOOKUP(Table_ErrorList[[#This Row],[Attention To Named Range]],Table_NamedRanges[],MATCH(Table_NamedRanges[[#Headers],[Reference Type]],Table_NamedRanges[#Headers],0),FALSE),"Error")</f>
        <v>Single Cell</v>
      </c>
      <c r="I86" s="102" t="s">
        <v>618</v>
      </c>
      <c r="J86" s="107" t="str">
        <f>IF(Table_ErrorList[[#This Row],[Manual Reference]]="",Table_ErrorList[[#This Row],[''Attention To'' Refence]],Table_ErrorList[[#This Row],[Manual Reference]])&amp;","</f>
        <v>$R$28,</v>
      </c>
      <c r="K86" s="107" t="str">
        <f>SUBSTITUTE(SUBSTITUTE(VLOOKUP(Table_ErrorList[[#This Row],[Attention To Named Range]],Table_NamedRanges[],MATCH(Table_NamedRanges[[#Headers],[Reference Text]],Table_NamedRanges[#Headers],0),FALSE),"=",""),"'Travel Expense Summary'!","")</f>
        <v>$R$28</v>
      </c>
      <c r="L86" s="107"/>
      <c r="M86" s="85" t="s">
        <v>719</v>
      </c>
      <c r="N86" s="85" t="s">
        <v>985</v>
      </c>
      <c r="O86" s="85" t="b">
        <v>1</v>
      </c>
      <c r="P86" s="106" t="s">
        <v>980</v>
      </c>
      <c r="Q86" s="106" t="s">
        <v>981</v>
      </c>
      <c r="R86" s="109"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86" s="85" t="b">
        <v>1</v>
      </c>
      <c r="T86" s="85" t="str">
        <f>IF(LEN(Table_ErrorList[[#This Row],[Message Bar Display]])&gt;$U$5,"Too Long, Characters = "&amp;LEN(Table_ErrorList[[#This Row],[Message Bar Display]])," ")</f>
        <v xml:space="preserve"> </v>
      </c>
      <c r="U86" s="85" t="str">
        <f>IF(LEN(Table_ErrorList[[#This Row],[Details Explanation (Line '#1)]])&gt;$U$5,"Too Long, Characters = "&amp;LEN(Table_ErrorList[[#This Row],[Details Explanation (Line '#1)]])," ")</f>
        <v xml:space="preserve"> </v>
      </c>
      <c r="V86" s="85" t="str">
        <f>IF(LEN(Table_ErrorList[[#This Row],[Details Explanation (Line '#2)]])&gt;$U$5,"Too Long, Characters = "&amp;LEN(Table_ErrorList[[#This Row],[Details Explanation (Line '#2)]])," ")</f>
        <v xml:space="preserve"> </v>
      </c>
    </row>
    <row r="87" spans="1:22" ht="30" x14ac:dyDescent="0.25">
      <c r="A87" s="107" t="e">
        <f>AND(
VLOOKUP(Others_Expense02,Table_Expenses[],MATCH(Table_Expenses[[#Headers],[ToRequired]],Table_Expenses[#Headers],0),FALSE),
OR(Others_To02=0,Others_To02="",Others_To02=Dropdown_NotSelectedValue),
COUNTA(Others_Date02,Others_Expense02,Others_Desc02, Others_From02, Others_Receipt02, Others_KM02)&gt;0)</f>
        <v>#N/A</v>
      </c>
      <c r="B87" s="107">
        <f ca="1">IFERROR(INDIRECT(Table_ErrorList[[#This Row],[Attention To Named Range]]),"Error")</f>
        <v>0</v>
      </c>
      <c r="C87" s="102">
        <v>840</v>
      </c>
      <c r="D87" s="102" t="str">
        <f ca="1">IF(Table_ErrorList[[#This Row],[Manual Hierarchy]]="",CONCATENATE(TEXT(Table_ErrorList[[#This Row],[Section '#]],"00"),"-",TEXT(COUNTIF($E87:OFFSET(Table_ErrorList[[#Headers],[Section '#]],1,0,1,1),Table_ErrorList[[#This Row],[Section '#]]),"000")),Table_ErrorList[[#This Row],[Manual Hierarchy]])</f>
        <v>07-016</v>
      </c>
      <c r="E87" s="104">
        <v>7</v>
      </c>
      <c r="F87" s="104" t="str">
        <f>IFERROR(VLOOKUP(Table_ErrorList[[#This Row],[Section '#]],Table_SectionNames[],MATCH(Table_SectionNames[[#Headers],[Name]],Table_SectionNames[#Headers],0),FALSE),"Not found")</f>
        <v>Other Expenses</v>
      </c>
      <c r="G87" s="104"/>
      <c r="H87" s="107" t="str">
        <f>IFERROR(VLOOKUP(Table_ErrorList[[#This Row],[Attention To Named Range]],Table_NamedRanges[],MATCH(Table_NamedRanges[[#Headers],[Reference Type]],Table_NamedRanges[#Headers],0),FALSE),"Error")</f>
        <v>Single Cell</v>
      </c>
      <c r="I87" s="102" t="s">
        <v>684</v>
      </c>
      <c r="J87" s="107" t="str">
        <f>IF(Table_ErrorList[[#This Row],[Manual Reference]]="",Table_ErrorList[[#This Row],[''Attention To'' Refence]],Table_ErrorList[[#This Row],[Manual Reference]])&amp;","</f>
        <v>$T$28,</v>
      </c>
      <c r="K87" s="107" t="str">
        <f>SUBSTITUTE(SUBSTITUTE(VLOOKUP(Table_ErrorList[[#This Row],[Attention To Named Range]],Table_NamedRanges[],MATCH(Table_NamedRanges[[#Headers],[Reference Text]],Table_NamedRanges[#Headers],0),FALSE),"=",""),"'Travel Expense Summary'!","")</f>
        <v>$T$28</v>
      </c>
      <c r="L87" s="107"/>
      <c r="M87" s="85" t="s">
        <v>720</v>
      </c>
      <c r="N87" s="85" t="s">
        <v>995</v>
      </c>
      <c r="O87" s="85" t="b">
        <v>1</v>
      </c>
      <c r="P87" s="106" t="s">
        <v>983</v>
      </c>
      <c r="Q87" s="106" t="s">
        <v>981</v>
      </c>
      <c r="R87" s="109"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87" s="85" t="b">
        <v>1</v>
      </c>
      <c r="T87" s="85" t="str">
        <f>IF(LEN(Table_ErrorList[[#This Row],[Message Bar Display]])&gt;$U$5,"Too Long, Characters = "&amp;LEN(Table_ErrorList[[#This Row],[Message Bar Display]])," ")</f>
        <v xml:space="preserve"> </v>
      </c>
      <c r="U87" s="85" t="str">
        <f>IF(LEN(Table_ErrorList[[#This Row],[Details Explanation (Line '#1)]])&gt;$U$5,"Too Long, Characters = "&amp;LEN(Table_ErrorList[[#This Row],[Details Explanation (Line '#1)]])," ")</f>
        <v xml:space="preserve"> </v>
      </c>
      <c r="V87" s="85" t="str">
        <f>IF(LEN(Table_ErrorList[[#This Row],[Details Explanation (Line '#2)]])&gt;$U$5,"Too Long, Characters = "&amp;LEN(Table_ErrorList[[#This Row],[Details Explanation (Line '#2)]])," ")</f>
        <v xml:space="preserve"> </v>
      </c>
    </row>
    <row r="88" spans="1:22" ht="33.75" x14ac:dyDescent="0.25">
      <c r="A88" s="107" t="e">
        <f>AND(
VLOOKUP(Others_Expense02,Table_Expenses[],MATCH(Table_Expenses[[#Headers],[ReceiptRequired]],Table_Expenses[#Headers],0),FALSE),
OR(Others_Receipt02=0,Others_Receipt02="",Others_Receipt02=Dropdown_NotSelectedValue),
COUNTA(Others_Date02,Others_Expense02,Others_Desc02, Others_From02, Others_To02, Others_KM02)&gt;0)</f>
        <v>#N/A</v>
      </c>
      <c r="B88" s="107">
        <f ca="1">IFERROR(INDIRECT(Table_ErrorList[[#This Row],[Attention To Named Range]]),"Error")</f>
        <v>0</v>
      </c>
      <c r="C88" s="102">
        <v>850</v>
      </c>
      <c r="D88" s="102" t="str">
        <f ca="1">IF(Table_ErrorList[[#This Row],[Manual Hierarchy]]="",CONCATENATE(TEXT(Table_ErrorList[[#This Row],[Section '#]],"00"),"-",TEXT(COUNTIF($E88:OFFSET(Table_ErrorList[[#Headers],[Section '#]],1,0,1,1),Table_ErrorList[[#This Row],[Section '#]]),"000")),Table_ErrorList[[#This Row],[Manual Hierarchy]])</f>
        <v>07-017</v>
      </c>
      <c r="E88" s="104">
        <v>7</v>
      </c>
      <c r="F88" s="104" t="str">
        <f>IFERROR(VLOOKUP(Table_ErrorList[[#This Row],[Section '#]],Table_SectionNames[],MATCH(Table_SectionNames[[#Headers],[Name]],Table_SectionNames[#Headers],0),FALSE),"Not found")</f>
        <v>Other Expenses</v>
      </c>
      <c r="G88" s="104"/>
      <c r="H88" s="107" t="str">
        <f>IFERROR(VLOOKUP(Table_ErrorList[[#This Row],[Attention To Named Range]],Table_NamedRanges[],MATCH(Table_NamedRanges[[#Headers],[Reference Type]],Table_NamedRanges[#Headers],0),FALSE),"Error")</f>
        <v>Single Cell</v>
      </c>
      <c r="I88" s="102" t="s">
        <v>662</v>
      </c>
      <c r="J88" s="107" t="str">
        <f>IF(Table_ErrorList[[#This Row],[Manual Reference]]="",Table_ErrorList[[#This Row],[''Attention To'' Refence]],Table_ErrorList[[#This Row],[Manual Reference]])&amp;","</f>
        <v>$X$28,</v>
      </c>
      <c r="K88" s="107" t="str">
        <f>SUBSTITUTE(SUBSTITUTE(VLOOKUP(Table_ErrorList[[#This Row],[Attention To Named Range]],Table_NamedRanges[],MATCH(Table_NamedRanges[[#Headers],[Reference Text]],Table_NamedRanges[#Headers],0),FALSE),"=",""),"'Travel Expense Summary'!","")</f>
        <v>$X$28</v>
      </c>
      <c r="L88" s="107"/>
      <c r="M88" s="85" t="s">
        <v>721</v>
      </c>
      <c r="N88" s="85" t="s">
        <v>726</v>
      </c>
      <c r="O88" s="85" t="b">
        <v>1</v>
      </c>
      <c r="P88" s="106" t="s">
        <v>1079</v>
      </c>
      <c r="Q88" s="106" t="s">
        <v>728</v>
      </c>
      <c r="R88" s="109"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88" s="85" t="b">
        <v>1</v>
      </c>
      <c r="T88" s="85" t="str">
        <f>IF(LEN(Table_ErrorList[[#This Row],[Message Bar Display]])&gt;$U$5,"Too Long, Characters = "&amp;LEN(Table_ErrorList[[#This Row],[Message Bar Display]])," ")</f>
        <v xml:space="preserve"> </v>
      </c>
      <c r="U88" s="85" t="str">
        <f>IF(LEN(Table_ErrorList[[#This Row],[Details Explanation (Line '#1)]])&gt;$U$5,"Too Long, Characters = "&amp;LEN(Table_ErrorList[[#This Row],[Details Explanation (Line '#1)]])," ")</f>
        <v xml:space="preserve"> </v>
      </c>
      <c r="V88" s="85" t="str">
        <f>IF(LEN(Table_ErrorList[[#This Row],[Details Explanation (Line '#2)]])&gt;$U$5,"Too Long, Characters = "&amp;LEN(Table_ErrorList[[#This Row],[Details Explanation (Line '#2)]])," ")</f>
        <v xml:space="preserve"> </v>
      </c>
    </row>
    <row r="89" spans="1:22" ht="45" x14ac:dyDescent="0.25">
      <c r="A89" s="107" t="e">
        <f>AND(
VLOOKUP(Others_Expense02,Table_Expenses[],MATCH(Table_Expenses[[#Headers],[KMRequired]],Table_Expenses[#Headers],0),FALSE),
OR(Others_KM02=0,Others_KM02="",Others_KM02=Dropdown_NotSelectedValue),
COUNTA(Others_Date02,Others_Expense02,Others_Desc02, Others_From02, Others_To02, Others_Receipt02)&gt;0)</f>
        <v>#N/A</v>
      </c>
      <c r="B89" s="107">
        <f ca="1">IFERROR(INDIRECT(Table_ErrorList[[#This Row],[Attention To Named Range]]),"Error")</f>
        <v>0</v>
      </c>
      <c r="C89" s="102">
        <v>860</v>
      </c>
      <c r="D89" s="102" t="str">
        <f ca="1">IF(Table_ErrorList[[#This Row],[Manual Hierarchy]]="",CONCATENATE(TEXT(Table_ErrorList[[#This Row],[Section '#]],"00"),"-",TEXT(COUNTIF($E89:OFFSET(Table_ErrorList[[#Headers],[Section '#]],1,0,1,1),Table_ErrorList[[#This Row],[Section '#]]),"000")),Table_ErrorList[[#This Row],[Manual Hierarchy]])</f>
        <v>07-018</v>
      </c>
      <c r="E89" s="104">
        <v>7</v>
      </c>
      <c r="F89" s="104" t="str">
        <f>IFERROR(VLOOKUP(Table_ErrorList[[#This Row],[Section '#]],Table_SectionNames[],MATCH(Table_SectionNames[[#Headers],[Name]],Table_SectionNames[#Headers],0),FALSE),"Not found")</f>
        <v>Other Expenses</v>
      </c>
      <c r="G89" s="104"/>
      <c r="H89" s="107" t="str">
        <f>IFERROR(VLOOKUP(Table_ErrorList[[#This Row],[Attention To Named Range]],Table_NamedRanges[],MATCH(Table_NamedRanges[[#Headers],[Reference Type]],Table_NamedRanges[#Headers],0),FALSE),"Error")</f>
        <v>Single Cell</v>
      </c>
      <c r="I89" s="102" t="s">
        <v>640</v>
      </c>
      <c r="J89" s="107" t="str">
        <f>IF(Table_ErrorList[[#This Row],[Manual Reference]]="",Table_ErrorList[[#This Row],[''Attention To'' Refence]],Table_ErrorList[[#This Row],[Manual Reference]])&amp;","</f>
        <v>$Y$28,</v>
      </c>
      <c r="K89" s="107" t="str">
        <f>SUBSTITUTE(SUBSTITUTE(VLOOKUP(Table_ErrorList[[#This Row],[Attention To Named Range]],Table_NamedRanges[],MATCH(Table_NamedRanges[[#Headers],[Reference Text]],Table_NamedRanges[#Headers],0),FALSE),"=",""),"'Travel Expense Summary'!","")</f>
        <v>$Y$28</v>
      </c>
      <c r="L89" s="107"/>
      <c r="M89" s="85" t="s">
        <v>722</v>
      </c>
      <c r="N89" s="85" t="s">
        <v>727</v>
      </c>
      <c r="O89" s="85" t="b">
        <v>1</v>
      </c>
      <c r="P89" s="106" t="s">
        <v>892</v>
      </c>
      <c r="Q89" s="106" t="s">
        <v>893</v>
      </c>
      <c r="R89" s="109"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89" s="85" t="b">
        <v>1</v>
      </c>
      <c r="T89" s="85" t="str">
        <f>IF(LEN(Table_ErrorList[[#This Row],[Message Bar Display]])&gt;$U$5,"Too Long, Characters = "&amp;LEN(Table_ErrorList[[#This Row],[Message Bar Display]])," ")</f>
        <v xml:space="preserve"> </v>
      </c>
      <c r="U89" s="85" t="str">
        <f>IF(LEN(Table_ErrorList[[#This Row],[Details Explanation (Line '#1)]])&gt;$U$5,"Too Long, Characters = "&amp;LEN(Table_ErrorList[[#This Row],[Details Explanation (Line '#1)]])," ")</f>
        <v xml:space="preserve"> </v>
      </c>
      <c r="V89" s="85" t="str">
        <f>IF(LEN(Table_ErrorList[[#This Row],[Details Explanation (Line '#2)]])&gt;$U$5,"Too Long, Characters = "&amp;LEN(Table_ErrorList[[#This Row],[Details Explanation (Line '#2)]])," ")</f>
        <v xml:space="preserve"> </v>
      </c>
    </row>
    <row r="90" spans="1:22" ht="30" x14ac:dyDescent="0.25">
      <c r="A90" s="107" t="b">
        <f>AND(
OR(Others_Date03=0,Others_Date03="",Others_Date03=Dropdown_NotSelectedValue),
COUNTA(Others_Expense03,Others_Desc03, Others_From03, Others_To03, Others_Receipt03, Others_KM03)&gt;0)</f>
        <v>0</v>
      </c>
      <c r="B90" s="107">
        <f ca="1">IFERROR(INDIRECT(Table_ErrorList[[#This Row],[Attention To Named Range]]),"Error")</f>
        <v>0</v>
      </c>
      <c r="C90" s="102">
        <v>900</v>
      </c>
      <c r="D90" s="102" t="str">
        <f ca="1">IF(Table_ErrorList[[#This Row],[Manual Hierarchy]]="",CONCATENATE(TEXT(Table_ErrorList[[#This Row],[Section '#]],"00"),"-",TEXT(COUNTIF($E90:OFFSET(Table_ErrorList[[#Headers],[Section '#]],1,0,1,1),Table_ErrorList[[#This Row],[Section '#]]),"000")),Table_ErrorList[[#This Row],[Manual Hierarchy]])</f>
        <v>07-019</v>
      </c>
      <c r="E90" s="104">
        <v>7</v>
      </c>
      <c r="F90" s="104" t="str">
        <f>IFERROR(VLOOKUP(Table_ErrorList[[#This Row],[Section '#]],Table_SectionNames[],MATCH(Table_SectionNames[[#Headers],[Name]],Table_SectionNames[#Headers],0),FALSE),"Not found")</f>
        <v>Other Expenses</v>
      </c>
      <c r="G90" s="104"/>
      <c r="H90" s="107" t="str">
        <f>IFERROR(VLOOKUP(Table_ErrorList[[#This Row],[Attention To Named Range]],Table_NamedRanges[],MATCH(Table_NamedRanges[[#Headers],[Reference Type]],Table_NamedRanges[#Headers],0),FALSE),"Error")</f>
        <v>Single Cell</v>
      </c>
      <c r="I90" s="102" t="s">
        <v>521</v>
      </c>
      <c r="J90" s="107" t="str">
        <f>IF(Table_ErrorList[[#This Row],[Manual Reference]]="",Table_ErrorList[[#This Row],[''Attention To'' Refence]],Table_ErrorList[[#This Row],[Manual Reference]])&amp;","</f>
        <v>$I$29,</v>
      </c>
      <c r="K90" s="107" t="str">
        <f>SUBSTITUTE(SUBSTITUTE(VLOOKUP(Table_ErrorList[[#This Row],[Attention To Named Range]],Table_NamedRanges[],MATCH(Table_NamedRanges[[#Headers],[Reference Text]],Table_NamedRanges[#Headers],0),FALSE),"=",""),"'Travel Expense Summary'!","")</f>
        <v>$I$29</v>
      </c>
      <c r="L90" s="107"/>
      <c r="M90" s="85" t="s">
        <v>729</v>
      </c>
      <c r="N90" s="85" t="s">
        <v>736</v>
      </c>
      <c r="O90" s="85" t="b">
        <v>1</v>
      </c>
      <c r="P90" s="106" t="s">
        <v>260</v>
      </c>
      <c r="Q90" s="106" t="s">
        <v>261</v>
      </c>
      <c r="R90"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0" s="85" t="b">
        <v>1</v>
      </c>
      <c r="T90" s="85" t="str">
        <f>IF(LEN(Table_ErrorList[[#This Row],[Message Bar Display]])&gt;$U$5,"Too Long, Characters = "&amp;LEN(Table_ErrorList[[#This Row],[Message Bar Display]])," ")</f>
        <v xml:space="preserve"> </v>
      </c>
      <c r="U90" s="85" t="str">
        <f>IF(LEN(Table_ErrorList[[#This Row],[Details Explanation (Line '#1)]])&gt;$U$5,"Too Long, Characters = "&amp;LEN(Table_ErrorList[[#This Row],[Details Explanation (Line '#1)]])," ")</f>
        <v xml:space="preserve"> </v>
      </c>
      <c r="V90" s="85" t="str">
        <f>IF(LEN(Table_ErrorList[[#This Row],[Details Explanation (Line '#2)]])&gt;$U$5,"Too Long, Characters = "&amp;LEN(Table_ErrorList[[#This Row],[Details Explanation (Line '#2)]])," ")</f>
        <v xml:space="preserve"> </v>
      </c>
    </row>
    <row r="91" spans="1:22" s="32" customFormat="1" ht="30" x14ac:dyDescent="0.25">
      <c r="A91" s="107" t="b">
        <f>IF(Others_Date03&gt;0,NOT(AND(Field15_TravelStartDate&lt;=Others_Date03,Field16_TravelEndDate&gt;=Others_Date03)),FALSE)</f>
        <v>0</v>
      </c>
      <c r="B91" s="107">
        <f ca="1">IFERROR(INDIRECT(Table_ErrorList[[#This Row],[Attention To Named Range]]),"Error")</f>
        <v>0</v>
      </c>
      <c r="C91" s="102">
        <v>901</v>
      </c>
      <c r="D91" s="102" t="str">
        <f ca="1">IF(Table_ErrorList[[#This Row],[Manual Hierarchy]]="",CONCATENATE(TEXT(Table_ErrorList[[#This Row],[Section '#]],"00"),"-",TEXT(COUNTIF($E91:OFFSET(Table_ErrorList[[#Headers],[Section '#]],1,0,1,1),Table_ErrorList[[#This Row],[Section '#]]),"000")),Table_ErrorList[[#This Row],[Manual Hierarchy]])</f>
        <v>07-020</v>
      </c>
      <c r="E91" s="104">
        <v>7</v>
      </c>
      <c r="F91" s="104" t="str">
        <f>IFERROR(VLOOKUP(Table_ErrorList[[#This Row],[Section '#]],Table_SectionNames[],MATCH(Table_SectionNames[[#Headers],[Name]],Table_SectionNames[#Headers],0),FALSE),"Not found")</f>
        <v>Other Expenses</v>
      </c>
      <c r="G91" s="104"/>
      <c r="H91" s="107" t="str">
        <f>IFERROR(VLOOKUP(Table_ErrorList[[#This Row],[Attention To Named Range]],Table_NamedRanges[],MATCH(Table_NamedRanges[[#Headers],[Reference Type]],Table_NamedRanges[#Headers],0),FALSE),"Error")</f>
        <v>Single Cell</v>
      </c>
      <c r="I91" s="102" t="s">
        <v>521</v>
      </c>
      <c r="J91" s="107" t="str">
        <f>IF(Table_ErrorList[[#This Row],[Manual Reference]]="",Table_ErrorList[[#This Row],[''Attention To'' Refence]],Table_ErrorList[[#This Row],[Manual Reference]])&amp;","</f>
        <v>$I$29,</v>
      </c>
      <c r="K91" s="107" t="str">
        <f>SUBSTITUTE(SUBSTITUTE(VLOOKUP(Table_ErrorList[[#This Row],[Attention To Named Range]],Table_NamedRanges[],MATCH(Table_NamedRanges[[#Headers],[Reference Text]],Table_NamedRanges[#Headers],0),FALSE),"=",""),"'Travel Expense Summary'!","")</f>
        <v>$I$29</v>
      </c>
      <c r="L91" s="107"/>
      <c r="M91" s="85" t="s">
        <v>1218</v>
      </c>
      <c r="N91" s="85" t="s">
        <v>1227</v>
      </c>
      <c r="O91" s="85" t="b">
        <v>1</v>
      </c>
      <c r="P91" s="106" t="s">
        <v>1228</v>
      </c>
      <c r="Q91" s="106" t="s">
        <v>1229</v>
      </c>
      <c r="R91"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91" s="85"/>
      <c r="T91" s="107" t="str">
        <f>IF(LEN(Table_ErrorList[[#This Row],[Message Bar Display]])&gt;$U$5,"Too Long, Characters = "&amp;LEN(Table_ErrorList[[#This Row],[Message Bar Display]])," ")</f>
        <v xml:space="preserve"> </v>
      </c>
      <c r="U91" s="107" t="str">
        <f>IF(LEN(Table_ErrorList[[#This Row],[Details Explanation (Line '#1)]])&gt;$U$5,"Too Long, Characters = "&amp;LEN(Table_ErrorList[[#This Row],[Details Explanation (Line '#1)]])," ")</f>
        <v xml:space="preserve"> </v>
      </c>
      <c r="V91" s="107" t="str">
        <f>IF(LEN(Table_ErrorList[[#This Row],[Details Explanation (Line '#2)]])&gt;$U$5,"Too Long, Characters = "&amp;LEN(Table_ErrorList[[#This Row],[Details Explanation (Line '#2)]])," ")</f>
        <v xml:space="preserve"> </v>
      </c>
    </row>
    <row r="92" spans="1:22" ht="33.75" x14ac:dyDescent="0.25">
      <c r="A92" s="107" t="b">
        <f>AND(
OR(Others_Expense03=0,Others_Expense03="",Others_Expense03=Dropdown_NotSelectedValue),
COUNTA(Others_Date03,Others_Desc03, Others_From03, Others_To03, Others_Receipt03, Others_KM03)&gt;0)</f>
        <v>0</v>
      </c>
      <c r="B92" s="107">
        <f ca="1">IFERROR(INDIRECT(Table_ErrorList[[#This Row],[Attention To Named Range]]),"Error")</f>
        <v>0</v>
      </c>
      <c r="C92" s="102">
        <v>910</v>
      </c>
      <c r="D92" s="102" t="str">
        <f ca="1">IF(Table_ErrorList[[#This Row],[Manual Hierarchy]]="",CONCATENATE(TEXT(Table_ErrorList[[#This Row],[Section '#]],"00"),"-",TEXT(COUNTIF($E92:OFFSET(Table_ErrorList[[#Headers],[Section '#]],1,0,1,1),Table_ErrorList[[#This Row],[Section '#]]),"000")),Table_ErrorList[[#This Row],[Manual Hierarchy]])</f>
        <v>07-021</v>
      </c>
      <c r="E92" s="104">
        <v>7</v>
      </c>
      <c r="F92" s="104" t="str">
        <f>IFERROR(VLOOKUP(Table_ErrorList[[#This Row],[Section '#]],Table_SectionNames[],MATCH(Table_SectionNames[[#Headers],[Name]],Table_SectionNames[#Headers],0),FALSE),"Not found")</f>
        <v>Other Expenses</v>
      </c>
      <c r="G92" s="104"/>
      <c r="H92" s="107" t="str">
        <f>IFERROR(VLOOKUP(Table_ErrorList[[#This Row],[Attention To Named Range]],Table_NamedRanges[],MATCH(Table_NamedRanges[[#Headers],[Reference Type]],Table_NamedRanges[#Headers],0),FALSE),"Error")</f>
        <v>Single Cell</v>
      </c>
      <c r="I92" s="102" t="s">
        <v>598</v>
      </c>
      <c r="J92" s="107" t="str">
        <f>IF(Table_ErrorList[[#This Row],[Manual Reference]]="",Table_ErrorList[[#This Row],[''Attention To'' Refence]],Table_ErrorList[[#This Row],[Manual Reference]])&amp;","</f>
        <v>$K$29,</v>
      </c>
      <c r="K92" s="107" t="str">
        <f>SUBSTITUTE(SUBSTITUTE(VLOOKUP(Table_ErrorList[[#This Row],[Attention To Named Range]],Table_NamedRanges[],MATCH(Table_NamedRanges[[#Headers],[Reference Text]],Table_NamedRanges[#Headers],0),FALSE),"=",""),"'Travel Expense Summary'!","")</f>
        <v>$K$29</v>
      </c>
      <c r="L92" s="107"/>
      <c r="M92" s="85" t="s">
        <v>730</v>
      </c>
      <c r="N92" s="85" t="s">
        <v>737</v>
      </c>
      <c r="O92" s="85" t="b">
        <v>1</v>
      </c>
      <c r="P92" s="106" t="s">
        <v>705</v>
      </c>
      <c r="Q92" s="106" t="s">
        <v>708</v>
      </c>
      <c r="R92" s="109"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92" s="85" t="b">
        <v>1</v>
      </c>
      <c r="T92" s="85" t="str">
        <f>IF(LEN(Table_ErrorList[[#This Row],[Message Bar Display]])&gt;$U$5,"Too Long, Characters = "&amp;LEN(Table_ErrorList[[#This Row],[Message Bar Display]])," ")</f>
        <v xml:space="preserve"> </v>
      </c>
      <c r="U92" s="85" t="str">
        <f>IF(LEN(Table_ErrorList[[#This Row],[Details Explanation (Line '#1)]])&gt;$U$5,"Too Long, Characters = "&amp;LEN(Table_ErrorList[[#This Row],[Details Explanation (Line '#1)]])," ")</f>
        <v xml:space="preserve"> </v>
      </c>
      <c r="V92" s="85" t="str">
        <f>IF(LEN(Table_ErrorList[[#This Row],[Details Explanation (Line '#2)]])&gt;$U$5,"Too Long, Characters = "&amp;LEN(Table_ErrorList[[#This Row],[Details Explanation (Line '#2)]])," ")</f>
        <v xml:space="preserve"> </v>
      </c>
    </row>
    <row r="93" spans="1:22" s="32" customFormat="1" ht="30" x14ac:dyDescent="0.25">
      <c r="A93" s="107" t="b">
        <f>IF(AND(ISBLANK(Others_Expense03)=FALSE,Others_Expense03&lt;&gt;Dropdown_NotSelectedValue),IFERROR(NOT(MATCH(Others_Expense03,Dropdown_Expenses,0)&gt;0),TRUE),FALSE)</f>
        <v>0</v>
      </c>
      <c r="B93" s="107">
        <f ca="1">IFERROR(INDIRECT(Table_ErrorList[[#This Row],[Attention To Named Range]]),"Error")</f>
        <v>0</v>
      </c>
      <c r="C93" s="102">
        <v>911</v>
      </c>
      <c r="D93" s="102" t="str">
        <f ca="1">IF(Table_ErrorList[[#This Row],[Manual Hierarchy]]="",CONCATENATE(TEXT(Table_ErrorList[[#This Row],[Section '#]],"00"),"-",TEXT(COUNTIF($E93:OFFSET(Table_ErrorList[[#Headers],[Section '#]],1,0,1,1),Table_ErrorList[[#This Row],[Section '#]]),"000")),Table_ErrorList[[#This Row],[Manual Hierarchy]])</f>
        <v>07-022</v>
      </c>
      <c r="E93" s="104">
        <v>7</v>
      </c>
      <c r="F93" s="104" t="str">
        <f>IFERROR(VLOOKUP(Table_ErrorList[[#This Row],[Section '#]],Table_SectionNames[],MATCH(Table_SectionNames[[#Headers],[Name]],Table_SectionNames[#Headers],0),FALSE),"Not found")</f>
        <v>Other Expenses</v>
      </c>
      <c r="G93" s="104"/>
      <c r="H93" s="107" t="str">
        <f>IFERROR(VLOOKUP(Table_ErrorList[[#This Row],[Attention To Named Range]],Table_NamedRanges[],MATCH(Table_NamedRanges[[#Headers],[Reference Type]],Table_NamedRanges[#Headers],0),FALSE),"Error")</f>
        <v>Single Cell</v>
      </c>
      <c r="I93" s="102" t="s">
        <v>598</v>
      </c>
      <c r="J93" s="107" t="str">
        <f>IF(Table_ErrorList[[#This Row],[Manual Reference]]="",Table_ErrorList[[#This Row],[''Attention To'' Refence]],Table_ErrorList[[#This Row],[Manual Reference]])&amp;","</f>
        <v>$K$29,</v>
      </c>
      <c r="K93" s="107" t="str">
        <f>SUBSTITUTE(SUBSTITUTE(VLOOKUP(Table_ErrorList[[#This Row],[Attention To Named Range]],Table_NamedRanges[],MATCH(Table_NamedRanges[[#Headers],[Reference Text]],Table_NamedRanges[#Headers],0),FALSE),"=",""),"'Travel Expense Summary'!","")</f>
        <v>$K$29</v>
      </c>
      <c r="L93" s="107"/>
      <c r="M93" s="85" t="s">
        <v>1235</v>
      </c>
      <c r="N93" s="85" t="s">
        <v>1240</v>
      </c>
      <c r="O93" s="85" t="b">
        <v>1</v>
      </c>
      <c r="P93" s="106" t="s">
        <v>1241</v>
      </c>
      <c r="Q93" s="106" t="s">
        <v>1232</v>
      </c>
      <c r="R93"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93" s="85" t="b">
        <v>1</v>
      </c>
      <c r="T93" s="107" t="str">
        <f>IF(LEN(Table_ErrorList[[#This Row],[Message Bar Display]])&gt;$U$5,"Too Long, Characters = "&amp;LEN(Table_ErrorList[[#This Row],[Message Bar Display]])," ")</f>
        <v xml:space="preserve"> </v>
      </c>
      <c r="U93" s="107" t="str">
        <f>IF(LEN(Table_ErrorList[[#This Row],[Details Explanation (Line '#1)]])&gt;$U$5,"Too Long, Characters = "&amp;LEN(Table_ErrorList[[#This Row],[Details Explanation (Line '#1)]])," ")</f>
        <v xml:space="preserve"> </v>
      </c>
      <c r="V93" s="107" t="str">
        <f>IF(LEN(Table_ErrorList[[#This Row],[Details Explanation (Line '#2)]])&gt;$U$5,"Too Long, Characters = "&amp;LEN(Table_ErrorList[[#This Row],[Details Explanation (Line '#2)]])," ")</f>
        <v xml:space="preserve"> </v>
      </c>
    </row>
    <row r="94" spans="1:22" ht="30" x14ac:dyDescent="0.25">
      <c r="A94" s="107" t="e">
        <f>AND(
VLOOKUP(Others_Expense03,Table_Expenses[],MATCH(Table_Expenses[[#Headers],[DescriptionRequired]],Table_Expenses[#Headers],0),FALSE),
OR(Others_Desc03=0,Others_Desc03="",Others_Desc03=Dropdown_NotSelectedValue),
COUNTA(Others_Date03,Others_Expense03,, Others_From03, Others_To03, Others_Receipt03, Others_KM03)&gt;0)</f>
        <v>#N/A</v>
      </c>
      <c r="B94" s="107">
        <f ca="1">IFERROR(INDIRECT(Table_ErrorList[[#This Row],[Attention To Named Range]]),"Error")</f>
        <v>0</v>
      </c>
      <c r="C94" s="102">
        <v>920</v>
      </c>
      <c r="D94" s="102" t="str">
        <f ca="1">IF(Table_ErrorList[[#This Row],[Manual Hierarchy]]="",CONCATENATE(TEXT(Table_ErrorList[[#This Row],[Section '#]],"00"),"-",TEXT(COUNTIF($E94:OFFSET(Table_ErrorList[[#Headers],[Section '#]],1,0,1,1),Table_ErrorList[[#This Row],[Section '#]]),"000")),Table_ErrorList[[#This Row],[Manual Hierarchy]])</f>
        <v>07-023</v>
      </c>
      <c r="E94" s="104">
        <v>7</v>
      </c>
      <c r="F94" s="104" t="str">
        <f>IFERROR(VLOOKUP(Table_ErrorList[[#This Row],[Section '#]],Table_SectionNames[],MATCH(Table_SectionNames[[#Headers],[Name]],Table_SectionNames[#Headers],0),FALSE),"Not found")</f>
        <v>Other Expenses</v>
      </c>
      <c r="G94" s="104"/>
      <c r="H94" s="107" t="str">
        <f>IFERROR(VLOOKUP(Table_ErrorList[[#This Row],[Attention To Named Range]],Table_NamedRanges[],MATCH(Table_NamedRanges[[#Headers],[Reference Type]],Table_NamedRanges[#Headers],0),FALSE),"Error")</f>
        <v>Single Cell</v>
      </c>
      <c r="I94" s="102" t="s">
        <v>577</v>
      </c>
      <c r="J94" s="107" t="str">
        <f>IF(Table_ErrorList[[#This Row],[Manual Reference]]="",Table_ErrorList[[#This Row],[''Attention To'' Refence]],Table_ErrorList[[#This Row],[Manual Reference]])&amp;","</f>
        <v>$M$29,</v>
      </c>
      <c r="K94" s="107" t="str">
        <f>SUBSTITUTE(SUBSTITUTE(VLOOKUP(Table_ErrorList[[#This Row],[Attention To Named Range]],Table_NamedRanges[],MATCH(Table_NamedRanges[[#Headers],[Reference Text]],Table_NamedRanges[#Headers],0),FALSE),"=",""),"'Travel Expense Summary'!","")</f>
        <v>$M$29</v>
      </c>
      <c r="L94" s="107"/>
      <c r="M94" s="85" t="s">
        <v>731</v>
      </c>
      <c r="N94" s="85" t="s">
        <v>738</v>
      </c>
      <c r="O94" s="85" t="b">
        <v>1</v>
      </c>
      <c r="P94" s="106" t="s">
        <v>894</v>
      </c>
      <c r="Q94" s="106" t="s">
        <v>979</v>
      </c>
      <c r="R94" s="109"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94" s="85" t="b">
        <v>1</v>
      </c>
      <c r="T94" s="85" t="str">
        <f>IF(LEN(Table_ErrorList[[#This Row],[Message Bar Display]])&gt;$U$5,"Too Long, Characters = "&amp;LEN(Table_ErrorList[[#This Row],[Message Bar Display]])," ")</f>
        <v xml:space="preserve"> </v>
      </c>
      <c r="U94" s="85" t="str">
        <f>IF(LEN(Table_ErrorList[[#This Row],[Details Explanation (Line '#1)]])&gt;$U$5,"Too Long, Characters = "&amp;LEN(Table_ErrorList[[#This Row],[Details Explanation (Line '#1)]])," ")</f>
        <v xml:space="preserve"> </v>
      </c>
      <c r="V94" s="85" t="str">
        <f>IF(LEN(Table_ErrorList[[#This Row],[Details Explanation (Line '#2)]])&gt;$U$5,"Too Long, Characters = "&amp;LEN(Table_ErrorList[[#This Row],[Details Explanation (Line '#2)]])," ")</f>
        <v xml:space="preserve"> </v>
      </c>
    </row>
    <row r="95" spans="1:22" ht="30" x14ac:dyDescent="0.25">
      <c r="A95" s="107" t="e">
        <f>AND(
VLOOKUP(Others_Expense03,Table_Expenses[],MATCH(Table_Expenses[[#Headers],[FromRequired]],Table_Expenses[#Headers],0),FALSE),
OR(Others_From03=0,Others_From03="",Others_From03=Dropdown_NotSelectedValue),
COUNTA(Others_Date03,Others_Expense03,Others_Desc03, Others_To03, Others_Receipt03, Others_KM03)&gt;0)</f>
        <v>#N/A</v>
      </c>
      <c r="B95" s="107">
        <f ca="1">IFERROR(INDIRECT(Table_ErrorList[[#This Row],[Attention To Named Range]]),"Error")</f>
        <v>0</v>
      </c>
      <c r="C95" s="102">
        <v>930</v>
      </c>
      <c r="D95" s="102" t="str">
        <f ca="1">IF(Table_ErrorList[[#This Row],[Manual Hierarchy]]="",CONCATENATE(TEXT(Table_ErrorList[[#This Row],[Section '#]],"00"),"-",TEXT(COUNTIF($E95:OFFSET(Table_ErrorList[[#Headers],[Section '#]],1,0,1,1),Table_ErrorList[[#This Row],[Section '#]]),"000")),Table_ErrorList[[#This Row],[Manual Hierarchy]])</f>
        <v>07-024</v>
      </c>
      <c r="E95" s="104">
        <v>7</v>
      </c>
      <c r="F95" s="104" t="str">
        <f>IFERROR(VLOOKUP(Table_ErrorList[[#This Row],[Section '#]],Table_SectionNames[],MATCH(Table_SectionNames[[#Headers],[Name]],Table_SectionNames[#Headers],0),FALSE),"Not found")</f>
        <v>Other Expenses</v>
      </c>
      <c r="G95" s="104"/>
      <c r="H95" s="107" t="str">
        <f>IFERROR(VLOOKUP(Table_ErrorList[[#This Row],[Attention To Named Range]],Table_NamedRanges[],MATCH(Table_NamedRanges[[#Headers],[Reference Type]],Table_NamedRanges[#Headers],0),FALSE),"Error")</f>
        <v>Single Cell</v>
      </c>
      <c r="I95" s="102" t="s">
        <v>620</v>
      </c>
      <c r="J95" s="107" t="str">
        <f>IF(Table_ErrorList[[#This Row],[Manual Reference]]="",Table_ErrorList[[#This Row],[''Attention To'' Refence]],Table_ErrorList[[#This Row],[Manual Reference]])&amp;","</f>
        <v>$R$29,</v>
      </c>
      <c r="K95" s="107" t="str">
        <f>SUBSTITUTE(SUBSTITUTE(VLOOKUP(Table_ErrorList[[#This Row],[Attention To Named Range]],Table_NamedRanges[],MATCH(Table_NamedRanges[[#Headers],[Reference Text]],Table_NamedRanges[#Headers],0),FALSE),"=",""),"'Travel Expense Summary'!","")</f>
        <v>$R$29</v>
      </c>
      <c r="L95" s="107"/>
      <c r="M95" s="85" t="s">
        <v>732</v>
      </c>
      <c r="N95" s="85" t="s">
        <v>986</v>
      </c>
      <c r="O95" s="85" t="b">
        <v>1</v>
      </c>
      <c r="P95" s="106" t="s">
        <v>980</v>
      </c>
      <c r="Q95" s="106" t="s">
        <v>981</v>
      </c>
      <c r="R95" s="109"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95" s="85" t="b">
        <v>1</v>
      </c>
      <c r="T95" s="85" t="str">
        <f>IF(LEN(Table_ErrorList[[#This Row],[Message Bar Display]])&gt;$U$5,"Too Long, Characters = "&amp;LEN(Table_ErrorList[[#This Row],[Message Bar Display]])," ")</f>
        <v xml:space="preserve"> </v>
      </c>
      <c r="U95" s="85" t="str">
        <f>IF(LEN(Table_ErrorList[[#This Row],[Details Explanation (Line '#1)]])&gt;$U$5,"Too Long, Characters = "&amp;LEN(Table_ErrorList[[#This Row],[Details Explanation (Line '#1)]])," ")</f>
        <v xml:space="preserve"> </v>
      </c>
      <c r="V95" s="85" t="str">
        <f>IF(LEN(Table_ErrorList[[#This Row],[Details Explanation (Line '#2)]])&gt;$U$5,"Too Long, Characters = "&amp;LEN(Table_ErrorList[[#This Row],[Details Explanation (Line '#2)]])," ")</f>
        <v xml:space="preserve"> </v>
      </c>
    </row>
    <row r="96" spans="1:22" ht="30" x14ac:dyDescent="0.25">
      <c r="A96" s="107" t="e">
        <f>AND(
VLOOKUP(Others_Expense03,Table_Expenses[],MATCH(Table_Expenses[[#Headers],[ToRequired]],Table_Expenses[#Headers],0),FALSE),
OR(Others_To03=0,Others_To03="",Others_To03=Dropdown_NotSelectedValue),
COUNTA(Others_Date03,Others_Expense03,Others_Desc03, Others_From03, Others_Receipt03, Others_KM03)&gt;0)</f>
        <v>#N/A</v>
      </c>
      <c r="B96" s="107">
        <f ca="1">IFERROR(INDIRECT(Table_ErrorList[[#This Row],[Attention To Named Range]]),"Error")</f>
        <v>0</v>
      </c>
      <c r="C96" s="102">
        <v>940</v>
      </c>
      <c r="D96" s="102" t="str">
        <f ca="1">IF(Table_ErrorList[[#This Row],[Manual Hierarchy]]="",CONCATENATE(TEXT(Table_ErrorList[[#This Row],[Section '#]],"00"),"-",TEXT(COUNTIF($E96:OFFSET(Table_ErrorList[[#Headers],[Section '#]],1,0,1,1),Table_ErrorList[[#This Row],[Section '#]]),"000")),Table_ErrorList[[#This Row],[Manual Hierarchy]])</f>
        <v>07-025</v>
      </c>
      <c r="E96" s="104">
        <v>7</v>
      </c>
      <c r="F96" s="104" t="str">
        <f>IFERROR(VLOOKUP(Table_ErrorList[[#This Row],[Section '#]],Table_SectionNames[],MATCH(Table_SectionNames[[#Headers],[Name]],Table_SectionNames[#Headers],0),FALSE),"Not found")</f>
        <v>Other Expenses</v>
      </c>
      <c r="G96" s="104"/>
      <c r="H96" s="107" t="str">
        <f>IFERROR(VLOOKUP(Table_ErrorList[[#This Row],[Attention To Named Range]],Table_NamedRanges[],MATCH(Table_NamedRanges[[#Headers],[Reference Type]],Table_NamedRanges[#Headers],0),FALSE),"Error")</f>
        <v>Single Cell</v>
      </c>
      <c r="I96" s="102" t="s">
        <v>686</v>
      </c>
      <c r="J96" s="107" t="str">
        <f>IF(Table_ErrorList[[#This Row],[Manual Reference]]="",Table_ErrorList[[#This Row],[''Attention To'' Refence]],Table_ErrorList[[#This Row],[Manual Reference]])&amp;","</f>
        <v>$T$29,</v>
      </c>
      <c r="K96" s="107" t="str">
        <f>SUBSTITUTE(SUBSTITUTE(VLOOKUP(Table_ErrorList[[#This Row],[Attention To Named Range]],Table_NamedRanges[],MATCH(Table_NamedRanges[[#Headers],[Reference Text]],Table_NamedRanges[#Headers],0),FALSE),"=",""),"'Travel Expense Summary'!","")</f>
        <v>$T$29</v>
      </c>
      <c r="L96" s="107"/>
      <c r="M96" s="85" t="s">
        <v>733</v>
      </c>
      <c r="N96" s="85" t="s">
        <v>996</v>
      </c>
      <c r="O96" s="85" t="b">
        <v>1</v>
      </c>
      <c r="P96" s="106" t="s">
        <v>983</v>
      </c>
      <c r="Q96" s="106" t="s">
        <v>981</v>
      </c>
      <c r="R96" s="109"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96" s="85" t="b">
        <v>1</v>
      </c>
      <c r="T96" s="85" t="str">
        <f>IF(LEN(Table_ErrorList[[#This Row],[Message Bar Display]])&gt;$U$5,"Too Long, Characters = "&amp;LEN(Table_ErrorList[[#This Row],[Message Bar Display]])," ")</f>
        <v xml:space="preserve"> </v>
      </c>
      <c r="U96" s="85" t="str">
        <f>IF(LEN(Table_ErrorList[[#This Row],[Details Explanation (Line '#1)]])&gt;$U$5,"Too Long, Characters = "&amp;LEN(Table_ErrorList[[#This Row],[Details Explanation (Line '#1)]])," ")</f>
        <v xml:space="preserve"> </v>
      </c>
      <c r="V96" s="85" t="str">
        <f>IF(LEN(Table_ErrorList[[#This Row],[Details Explanation (Line '#2)]])&gt;$U$5,"Too Long, Characters = "&amp;LEN(Table_ErrorList[[#This Row],[Details Explanation (Line '#2)]])," ")</f>
        <v xml:space="preserve"> </v>
      </c>
    </row>
    <row r="97" spans="1:22" ht="33.75" x14ac:dyDescent="0.25">
      <c r="A97" s="107" t="e">
        <f>AND(
VLOOKUP(Others_Expense03,Table_Expenses[],MATCH(Table_Expenses[[#Headers],[ReceiptRequired]],Table_Expenses[#Headers],0),FALSE),
OR(Others_Receipt03=0,Others_Receipt03="",Others_Receipt03=Dropdown_NotSelectedValue),
COUNTA(Others_Date03,Others_Expense03,Others_Desc03, Others_From03, Others_To03, Others_KM03)&gt;0)</f>
        <v>#N/A</v>
      </c>
      <c r="B97" s="107">
        <f ca="1">IFERROR(INDIRECT(Table_ErrorList[[#This Row],[Attention To Named Range]]),"Error")</f>
        <v>0</v>
      </c>
      <c r="C97" s="102">
        <v>950</v>
      </c>
      <c r="D97" s="102" t="str">
        <f ca="1">IF(Table_ErrorList[[#This Row],[Manual Hierarchy]]="",CONCATENATE(TEXT(Table_ErrorList[[#This Row],[Section '#]],"00"),"-",TEXT(COUNTIF($E97:OFFSET(Table_ErrorList[[#Headers],[Section '#]],1,0,1,1),Table_ErrorList[[#This Row],[Section '#]]),"000")),Table_ErrorList[[#This Row],[Manual Hierarchy]])</f>
        <v>07-026</v>
      </c>
      <c r="E97" s="104">
        <v>7</v>
      </c>
      <c r="F97" s="104" t="str">
        <f>IFERROR(VLOOKUP(Table_ErrorList[[#This Row],[Section '#]],Table_SectionNames[],MATCH(Table_SectionNames[[#Headers],[Name]],Table_SectionNames[#Headers],0),FALSE),"Not found")</f>
        <v>Other Expenses</v>
      </c>
      <c r="G97" s="104"/>
      <c r="H97" s="107" t="str">
        <f>IFERROR(VLOOKUP(Table_ErrorList[[#This Row],[Attention To Named Range]],Table_NamedRanges[],MATCH(Table_NamedRanges[[#Headers],[Reference Type]],Table_NamedRanges[#Headers],0),FALSE),"Error")</f>
        <v>Single Cell</v>
      </c>
      <c r="I97" s="102" t="s">
        <v>664</v>
      </c>
      <c r="J97" s="107" t="str">
        <f>IF(Table_ErrorList[[#This Row],[Manual Reference]]="",Table_ErrorList[[#This Row],[''Attention To'' Refence]],Table_ErrorList[[#This Row],[Manual Reference]])&amp;","</f>
        <v>$X$29,</v>
      </c>
      <c r="K97" s="107" t="str">
        <f>SUBSTITUTE(SUBSTITUTE(VLOOKUP(Table_ErrorList[[#This Row],[Attention To Named Range]],Table_NamedRanges[],MATCH(Table_NamedRanges[[#Headers],[Reference Text]],Table_NamedRanges[#Headers],0),FALSE),"=",""),"'Travel Expense Summary'!","")</f>
        <v>$X$29</v>
      </c>
      <c r="L97" s="107"/>
      <c r="M97" s="85" t="s">
        <v>734</v>
      </c>
      <c r="N97" s="85" t="s">
        <v>739</v>
      </c>
      <c r="O97" s="85" t="b">
        <v>1</v>
      </c>
      <c r="P97" s="106" t="s">
        <v>1079</v>
      </c>
      <c r="Q97" s="106" t="s">
        <v>728</v>
      </c>
      <c r="R97" s="109"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97" s="85" t="b">
        <v>1</v>
      </c>
      <c r="T97" s="85" t="str">
        <f>IF(LEN(Table_ErrorList[[#This Row],[Message Bar Display]])&gt;$U$5,"Too Long, Characters = "&amp;LEN(Table_ErrorList[[#This Row],[Message Bar Display]])," ")</f>
        <v xml:space="preserve"> </v>
      </c>
      <c r="U97" s="85" t="str">
        <f>IF(LEN(Table_ErrorList[[#This Row],[Details Explanation (Line '#1)]])&gt;$U$5,"Too Long, Characters = "&amp;LEN(Table_ErrorList[[#This Row],[Details Explanation (Line '#1)]])," ")</f>
        <v xml:space="preserve"> </v>
      </c>
      <c r="V97" s="85" t="str">
        <f>IF(LEN(Table_ErrorList[[#This Row],[Details Explanation (Line '#2)]])&gt;$U$5,"Too Long, Characters = "&amp;LEN(Table_ErrorList[[#This Row],[Details Explanation (Line '#2)]])," ")</f>
        <v xml:space="preserve"> </v>
      </c>
    </row>
    <row r="98" spans="1:22" ht="45" x14ac:dyDescent="0.25">
      <c r="A98" s="107" t="e">
        <f>AND(
VLOOKUP(Others_Expense03,Table_Expenses[],MATCH(Table_Expenses[[#Headers],[KMRequired]],Table_Expenses[#Headers],0),FALSE),
OR(Others_KM03=0,Others_KM03="",Others_KM03=Dropdown_NotSelectedValue),
COUNTA(Others_Date03,Others_Expense03,Others_Desc03, Others_From03, Others_To03, Others_Receipt03)&gt;0)</f>
        <v>#N/A</v>
      </c>
      <c r="B98" s="107">
        <f ca="1">IFERROR(INDIRECT(Table_ErrorList[[#This Row],[Attention To Named Range]]),"Error")</f>
        <v>0</v>
      </c>
      <c r="C98" s="102">
        <v>960</v>
      </c>
      <c r="D98" s="102" t="str">
        <f ca="1">IF(Table_ErrorList[[#This Row],[Manual Hierarchy]]="",CONCATENATE(TEXT(Table_ErrorList[[#This Row],[Section '#]],"00"),"-",TEXT(COUNTIF($E98:OFFSET(Table_ErrorList[[#Headers],[Section '#]],1,0,1,1),Table_ErrorList[[#This Row],[Section '#]]),"000")),Table_ErrorList[[#This Row],[Manual Hierarchy]])</f>
        <v>07-027</v>
      </c>
      <c r="E98" s="104">
        <v>7</v>
      </c>
      <c r="F98" s="104" t="str">
        <f>IFERROR(VLOOKUP(Table_ErrorList[[#This Row],[Section '#]],Table_SectionNames[],MATCH(Table_SectionNames[[#Headers],[Name]],Table_SectionNames[#Headers],0),FALSE),"Not found")</f>
        <v>Other Expenses</v>
      </c>
      <c r="G98" s="104"/>
      <c r="H98" s="107" t="str">
        <f>IFERROR(VLOOKUP(Table_ErrorList[[#This Row],[Attention To Named Range]],Table_NamedRanges[],MATCH(Table_NamedRanges[[#Headers],[Reference Type]],Table_NamedRanges[#Headers],0),FALSE),"Error")</f>
        <v>Single Cell</v>
      </c>
      <c r="I98" s="102" t="s">
        <v>642</v>
      </c>
      <c r="J98" s="107" t="str">
        <f>IF(Table_ErrorList[[#This Row],[Manual Reference]]="",Table_ErrorList[[#This Row],[''Attention To'' Refence]],Table_ErrorList[[#This Row],[Manual Reference]])&amp;","</f>
        <v>$Y$29,</v>
      </c>
      <c r="K98" s="107" t="str">
        <f>SUBSTITUTE(SUBSTITUTE(VLOOKUP(Table_ErrorList[[#This Row],[Attention To Named Range]],Table_NamedRanges[],MATCH(Table_NamedRanges[[#Headers],[Reference Text]],Table_NamedRanges[#Headers],0),FALSE),"=",""),"'Travel Expense Summary'!","")</f>
        <v>$Y$29</v>
      </c>
      <c r="L98" s="107"/>
      <c r="M98" s="85" t="s">
        <v>735</v>
      </c>
      <c r="N98" s="85" t="s">
        <v>740</v>
      </c>
      <c r="O98" s="85" t="b">
        <v>1</v>
      </c>
      <c r="P98" s="106" t="s">
        <v>892</v>
      </c>
      <c r="Q98" s="106" t="s">
        <v>893</v>
      </c>
      <c r="R98" s="109"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98" s="85" t="b">
        <v>1</v>
      </c>
      <c r="T98" s="85" t="str">
        <f>IF(LEN(Table_ErrorList[[#This Row],[Message Bar Display]])&gt;$U$5,"Too Long, Characters = "&amp;LEN(Table_ErrorList[[#This Row],[Message Bar Display]])," ")</f>
        <v xml:space="preserve"> </v>
      </c>
      <c r="U98" s="85" t="str">
        <f>IF(LEN(Table_ErrorList[[#This Row],[Details Explanation (Line '#1)]])&gt;$U$5,"Too Long, Characters = "&amp;LEN(Table_ErrorList[[#This Row],[Details Explanation (Line '#1)]])," ")</f>
        <v xml:space="preserve"> </v>
      </c>
      <c r="V98" s="85" t="str">
        <f>IF(LEN(Table_ErrorList[[#This Row],[Details Explanation (Line '#2)]])&gt;$U$5,"Too Long, Characters = "&amp;LEN(Table_ErrorList[[#This Row],[Details Explanation (Line '#2)]])," ")</f>
        <v xml:space="preserve"> </v>
      </c>
    </row>
    <row r="99" spans="1:22" ht="30" x14ac:dyDescent="0.25">
      <c r="A99" s="107" t="b">
        <f>AND(
OR(Others_Date04=0,Others_Date04="",Others_Date04=Dropdown_NotSelectedValue),
COUNTA(Others_Expense04,Others_Desc04, Others_From04, Others_To04, Others_Receipt04, Others_KM04)&gt;0)</f>
        <v>0</v>
      </c>
      <c r="B99" s="107">
        <f ca="1">IFERROR(INDIRECT(Table_ErrorList[[#This Row],[Attention To Named Range]]),"Error")</f>
        <v>0</v>
      </c>
      <c r="C99" s="102">
        <v>1000</v>
      </c>
      <c r="D99" s="102" t="str">
        <f ca="1">IF(Table_ErrorList[[#This Row],[Manual Hierarchy]]="",CONCATENATE(TEXT(Table_ErrorList[[#This Row],[Section '#]],"00"),"-",TEXT(COUNTIF($E99:OFFSET(Table_ErrorList[[#Headers],[Section '#]],1,0,1,1),Table_ErrorList[[#This Row],[Section '#]]),"000")),Table_ErrorList[[#This Row],[Manual Hierarchy]])</f>
        <v>07-028</v>
      </c>
      <c r="E99" s="104">
        <v>7</v>
      </c>
      <c r="F99" s="104" t="str">
        <f>IFERROR(VLOOKUP(Table_ErrorList[[#This Row],[Section '#]],Table_SectionNames[],MATCH(Table_SectionNames[[#Headers],[Name]],Table_SectionNames[#Headers],0),FALSE),"Not found")</f>
        <v>Other Expenses</v>
      </c>
      <c r="G99" s="104"/>
      <c r="H99" s="107" t="str">
        <f>IFERROR(VLOOKUP(Table_ErrorList[[#This Row],[Attention To Named Range]],Table_NamedRanges[],MATCH(Table_NamedRanges[[#Headers],[Reference Type]],Table_NamedRanges[#Headers],0),FALSE),"Error")</f>
        <v>Single Cell</v>
      </c>
      <c r="I99" s="102" t="s">
        <v>523</v>
      </c>
      <c r="J99" s="107" t="str">
        <f>IF(Table_ErrorList[[#This Row],[Manual Reference]]="",Table_ErrorList[[#This Row],[''Attention To'' Refence]],Table_ErrorList[[#This Row],[Manual Reference]])&amp;","</f>
        <v>$I$30,</v>
      </c>
      <c r="K99" s="107" t="str">
        <f>SUBSTITUTE(SUBSTITUTE(VLOOKUP(Table_ErrorList[[#This Row],[Attention To Named Range]],Table_NamedRanges[],MATCH(Table_NamedRanges[[#Headers],[Reference Text]],Table_NamedRanges[#Headers],0),FALSE),"=",""),"'Travel Expense Summary'!","")</f>
        <v>$I$30</v>
      </c>
      <c r="L99" s="107"/>
      <c r="M99" s="85" t="s">
        <v>741</v>
      </c>
      <c r="N99" s="85" t="s">
        <v>748</v>
      </c>
      <c r="O99" s="85" t="b">
        <v>1</v>
      </c>
      <c r="P99" s="106" t="s">
        <v>260</v>
      </c>
      <c r="Q99" s="106" t="s">
        <v>261</v>
      </c>
      <c r="R99" s="109"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9" s="85" t="b">
        <v>1</v>
      </c>
      <c r="T99" s="85" t="str">
        <f>IF(LEN(Table_ErrorList[[#This Row],[Message Bar Display]])&gt;$U$5,"Too Long, Characters = "&amp;LEN(Table_ErrorList[[#This Row],[Message Bar Display]])," ")</f>
        <v xml:space="preserve"> </v>
      </c>
      <c r="U99" s="85" t="str">
        <f>IF(LEN(Table_ErrorList[[#This Row],[Details Explanation (Line '#1)]])&gt;$U$5,"Too Long, Characters = "&amp;LEN(Table_ErrorList[[#This Row],[Details Explanation (Line '#1)]])," ")</f>
        <v xml:space="preserve"> </v>
      </c>
      <c r="V99" s="85" t="str">
        <f>IF(LEN(Table_ErrorList[[#This Row],[Details Explanation (Line '#2)]])&gt;$U$5,"Too Long, Characters = "&amp;LEN(Table_ErrorList[[#This Row],[Details Explanation (Line '#2)]])," ")</f>
        <v xml:space="preserve"> </v>
      </c>
    </row>
    <row r="100" spans="1:22" s="32" customFormat="1" ht="30" x14ac:dyDescent="0.25">
      <c r="A100" s="107" t="b">
        <f>IF(Others_Date04&gt;0,NOT(AND(Field15_TravelStartDate&lt;=Others_Date04,Field16_TravelEndDate&gt;=Others_Date04)),FALSE)</f>
        <v>0</v>
      </c>
      <c r="B100" s="107">
        <f ca="1">IFERROR(INDIRECT(Table_ErrorList[[#This Row],[Attention To Named Range]]),"Error")</f>
        <v>0</v>
      </c>
      <c r="C100" s="102">
        <v>1001</v>
      </c>
      <c r="D100" s="102" t="str">
        <f ca="1">IF(Table_ErrorList[[#This Row],[Manual Hierarchy]]="",CONCATENATE(TEXT(Table_ErrorList[[#This Row],[Section '#]],"00"),"-",TEXT(COUNTIF($E100:OFFSET(Table_ErrorList[[#Headers],[Section '#]],1,0,1,1),Table_ErrorList[[#This Row],[Section '#]]),"000")),Table_ErrorList[[#This Row],[Manual Hierarchy]])</f>
        <v>07-029</v>
      </c>
      <c r="E100" s="104">
        <v>7</v>
      </c>
      <c r="F100" s="104" t="str">
        <f>IFERROR(VLOOKUP(Table_ErrorList[[#This Row],[Section '#]],Table_SectionNames[],MATCH(Table_SectionNames[[#Headers],[Name]],Table_SectionNames[#Headers],0),FALSE),"Not found")</f>
        <v>Other Expenses</v>
      </c>
      <c r="G100" s="104"/>
      <c r="H100" s="107" t="str">
        <f>IFERROR(VLOOKUP(Table_ErrorList[[#This Row],[Attention To Named Range]],Table_NamedRanges[],MATCH(Table_NamedRanges[[#Headers],[Reference Type]],Table_NamedRanges[#Headers],0),FALSE),"Error")</f>
        <v>Single Cell</v>
      </c>
      <c r="I100" s="102" t="s">
        <v>523</v>
      </c>
      <c r="J100" s="107" t="str">
        <f>IF(Table_ErrorList[[#This Row],[Manual Reference]]="",Table_ErrorList[[#This Row],[''Attention To'' Refence]],Table_ErrorList[[#This Row],[Manual Reference]])&amp;","</f>
        <v>$I$30,</v>
      </c>
      <c r="K100" s="107" t="str">
        <f>SUBSTITUTE(SUBSTITUTE(VLOOKUP(Table_ErrorList[[#This Row],[Attention To Named Range]],Table_NamedRanges[],MATCH(Table_NamedRanges[[#Headers],[Reference Text]],Table_NamedRanges[#Headers],0),FALSE),"=",""),"'Travel Expense Summary'!","")</f>
        <v>$I$30</v>
      </c>
      <c r="L100" s="107"/>
      <c r="M100" s="85" t="s">
        <v>1219</v>
      </c>
      <c r="N100" s="85" t="s">
        <v>1227</v>
      </c>
      <c r="O100" s="85" t="b">
        <v>1</v>
      </c>
      <c r="P100" s="106" t="s">
        <v>1228</v>
      </c>
      <c r="Q100" s="106" t="s">
        <v>1229</v>
      </c>
      <c r="R100"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0" s="85"/>
      <c r="T100" s="107" t="str">
        <f>IF(LEN(Table_ErrorList[[#This Row],[Message Bar Display]])&gt;$U$5,"Too Long, Characters = "&amp;LEN(Table_ErrorList[[#This Row],[Message Bar Display]])," ")</f>
        <v xml:space="preserve"> </v>
      </c>
      <c r="U100" s="107" t="str">
        <f>IF(LEN(Table_ErrorList[[#This Row],[Details Explanation (Line '#1)]])&gt;$U$5,"Too Long, Characters = "&amp;LEN(Table_ErrorList[[#This Row],[Details Explanation (Line '#1)]])," ")</f>
        <v xml:space="preserve"> </v>
      </c>
      <c r="V100" s="107" t="str">
        <f>IF(LEN(Table_ErrorList[[#This Row],[Details Explanation (Line '#2)]])&gt;$U$5,"Too Long, Characters = "&amp;LEN(Table_ErrorList[[#This Row],[Details Explanation (Line '#2)]])," ")</f>
        <v xml:space="preserve"> </v>
      </c>
    </row>
    <row r="101" spans="1:22" ht="33.75" x14ac:dyDescent="0.25">
      <c r="A101" s="107" t="b">
        <f>AND(
OR(Others_Expense04=0,Others_Expense04="",Others_Expense04=Dropdown_NotSelectedValue),
COUNTA(Others_Date04,Others_Desc04, Others_From04, Others_To04, Others_Receipt04, Others_KM04)&gt;0)</f>
        <v>0</v>
      </c>
      <c r="B101" s="107">
        <f ca="1">IFERROR(INDIRECT(Table_ErrorList[[#This Row],[Attention To Named Range]]),"Error")</f>
        <v>0</v>
      </c>
      <c r="C101" s="102">
        <v>1010</v>
      </c>
      <c r="D101" s="102" t="str">
        <f ca="1">IF(Table_ErrorList[[#This Row],[Manual Hierarchy]]="",CONCATENATE(TEXT(Table_ErrorList[[#This Row],[Section '#]],"00"),"-",TEXT(COUNTIF($E101:OFFSET(Table_ErrorList[[#Headers],[Section '#]],1,0,1,1),Table_ErrorList[[#This Row],[Section '#]]),"000")),Table_ErrorList[[#This Row],[Manual Hierarchy]])</f>
        <v>07-030</v>
      </c>
      <c r="E101" s="104">
        <v>7</v>
      </c>
      <c r="F101" s="104" t="str">
        <f>IFERROR(VLOOKUP(Table_ErrorList[[#This Row],[Section '#]],Table_SectionNames[],MATCH(Table_SectionNames[[#Headers],[Name]],Table_SectionNames[#Headers],0),FALSE),"Not found")</f>
        <v>Other Expenses</v>
      </c>
      <c r="G101" s="104"/>
      <c r="H101" s="107" t="str">
        <f>IFERROR(VLOOKUP(Table_ErrorList[[#This Row],[Attention To Named Range]],Table_NamedRanges[],MATCH(Table_NamedRanges[[#Headers],[Reference Type]],Table_NamedRanges[#Headers],0),FALSE),"Error")</f>
        <v>Single Cell</v>
      </c>
      <c r="I101" s="102" t="s">
        <v>600</v>
      </c>
      <c r="J101" s="107" t="str">
        <f>IF(Table_ErrorList[[#This Row],[Manual Reference]]="",Table_ErrorList[[#This Row],[''Attention To'' Refence]],Table_ErrorList[[#This Row],[Manual Reference]])&amp;","</f>
        <v>$K$30,</v>
      </c>
      <c r="K101" s="107" t="str">
        <f>SUBSTITUTE(SUBSTITUTE(VLOOKUP(Table_ErrorList[[#This Row],[Attention To Named Range]],Table_NamedRanges[],MATCH(Table_NamedRanges[[#Headers],[Reference Text]],Table_NamedRanges[#Headers],0),FALSE),"=",""),"'Travel Expense Summary'!","")</f>
        <v>$K$30</v>
      </c>
      <c r="L101" s="107"/>
      <c r="M101" s="85" t="s">
        <v>742</v>
      </c>
      <c r="N101" s="85" t="s">
        <v>749</v>
      </c>
      <c r="O101" s="85" t="b">
        <v>1</v>
      </c>
      <c r="P101" s="106" t="s">
        <v>705</v>
      </c>
      <c r="Q101" s="106" t="s">
        <v>708</v>
      </c>
      <c r="R101" s="109"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01" s="85" t="b">
        <v>1</v>
      </c>
      <c r="T101" s="85" t="str">
        <f>IF(LEN(Table_ErrorList[[#This Row],[Message Bar Display]])&gt;$U$5,"Too Long, Characters = "&amp;LEN(Table_ErrorList[[#This Row],[Message Bar Display]])," ")</f>
        <v xml:space="preserve"> </v>
      </c>
      <c r="U101" s="85" t="str">
        <f>IF(LEN(Table_ErrorList[[#This Row],[Details Explanation (Line '#1)]])&gt;$U$5,"Too Long, Characters = "&amp;LEN(Table_ErrorList[[#This Row],[Details Explanation (Line '#1)]])," ")</f>
        <v xml:space="preserve"> </v>
      </c>
      <c r="V101" s="85" t="str">
        <f>IF(LEN(Table_ErrorList[[#This Row],[Details Explanation (Line '#2)]])&gt;$U$5,"Too Long, Characters = "&amp;LEN(Table_ErrorList[[#This Row],[Details Explanation (Line '#2)]])," ")</f>
        <v xml:space="preserve"> </v>
      </c>
    </row>
    <row r="102" spans="1:22" s="32" customFormat="1" ht="30" x14ac:dyDescent="0.25">
      <c r="A102" s="107" t="b">
        <f>IF(AND(ISBLANK(Others_Expense04)=FALSE,Others_Expense04&lt;&gt;Dropdown_NotSelectedValue),IFERROR(NOT(MATCH(Others_Expense04,Dropdown_Expenses,0)&gt;0),TRUE),FALSE)</f>
        <v>0</v>
      </c>
      <c r="B102" s="107">
        <f ca="1">IFERROR(INDIRECT(Table_ErrorList[[#This Row],[Attention To Named Range]]),"Error")</f>
        <v>0</v>
      </c>
      <c r="C102" s="102">
        <v>1011</v>
      </c>
      <c r="D102" s="102" t="str">
        <f ca="1">IF(Table_ErrorList[[#This Row],[Manual Hierarchy]]="",CONCATENATE(TEXT(Table_ErrorList[[#This Row],[Section '#]],"00"),"-",TEXT(COUNTIF($E102:OFFSET(Table_ErrorList[[#Headers],[Section '#]],1,0,1,1),Table_ErrorList[[#This Row],[Section '#]]),"000")),Table_ErrorList[[#This Row],[Manual Hierarchy]])</f>
        <v>07-031</v>
      </c>
      <c r="E102" s="104">
        <v>7</v>
      </c>
      <c r="F102" s="104" t="str">
        <f>IFERROR(VLOOKUP(Table_ErrorList[[#This Row],[Section '#]],Table_SectionNames[],MATCH(Table_SectionNames[[#Headers],[Name]],Table_SectionNames[#Headers],0),FALSE),"Not found")</f>
        <v>Other Expenses</v>
      </c>
      <c r="G102" s="104"/>
      <c r="H102" s="107" t="str">
        <f>IFERROR(VLOOKUP(Table_ErrorList[[#This Row],[Attention To Named Range]],Table_NamedRanges[],MATCH(Table_NamedRanges[[#Headers],[Reference Type]],Table_NamedRanges[#Headers],0),FALSE),"Error")</f>
        <v>Single Cell</v>
      </c>
      <c r="I102" s="102" t="s">
        <v>600</v>
      </c>
      <c r="J102" s="107" t="str">
        <f>IF(Table_ErrorList[[#This Row],[Manual Reference]]="",Table_ErrorList[[#This Row],[''Attention To'' Refence]],Table_ErrorList[[#This Row],[Manual Reference]])&amp;","</f>
        <v>$K$30,</v>
      </c>
      <c r="K102" s="107" t="str">
        <f>SUBSTITUTE(SUBSTITUTE(VLOOKUP(Table_ErrorList[[#This Row],[Attention To Named Range]],Table_NamedRanges[],MATCH(Table_NamedRanges[[#Headers],[Reference Text]],Table_NamedRanges[#Headers],0),FALSE),"=",""),"'Travel Expense Summary'!","")</f>
        <v>$K$30</v>
      </c>
      <c r="L102" s="107"/>
      <c r="M102" s="85" t="s">
        <v>1236</v>
      </c>
      <c r="N102" s="85" t="s">
        <v>1240</v>
      </c>
      <c r="O102" s="85" t="b">
        <v>1</v>
      </c>
      <c r="P102" s="106" t="s">
        <v>1241</v>
      </c>
      <c r="Q102" s="106" t="s">
        <v>1232</v>
      </c>
      <c r="R102"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02" s="85" t="b">
        <v>1</v>
      </c>
      <c r="T102" s="107" t="str">
        <f>IF(LEN(Table_ErrorList[[#This Row],[Message Bar Display]])&gt;$U$5,"Too Long, Characters = "&amp;LEN(Table_ErrorList[[#This Row],[Message Bar Display]])," ")</f>
        <v xml:space="preserve"> </v>
      </c>
      <c r="U102" s="107" t="str">
        <f>IF(LEN(Table_ErrorList[[#This Row],[Details Explanation (Line '#1)]])&gt;$U$5,"Too Long, Characters = "&amp;LEN(Table_ErrorList[[#This Row],[Details Explanation (Line '#1)]])," ")</f>
        <v xml:space="preserve"> </v>
      </c>
      <c r="V102" s="107" t="str">
        <f>IF(LEN(Table_ErrorList[[#This Row],[Details Explanation (Line '#2)]])&gt;$U$5,"Too Long, Characters = "&amp;LEN(Table_ErrorList[[#This Row],[Details Explanation (Line '#2)]])," ")</f>
        <v xml:space="preserve"> </v>
      </c>
    </row>
    <row r="103" spans="1:22" ht="30" x14ac:dyDescent="0.25">
      <c r="A103" s="107" t="e">
        <f>AND(
VLOOKUP(Others_Expense04,Table_Expenses[],MATCH(Table_Expenses[[#Headers],[DescriptionRequired]],Table_Expenses[#Headers],0),FALSE),
OR(Others_Desc04=0,Others_Desc04="",Others_Desc04=Dropdown_NotSelectedValue),
COUNTA(Others_Date04,Others_Expense04,, Others_From04, Others_To04, Others_Receipt04, Others_KM04)&gt;0)</f>
        <v>#N/A</v>
      </c>
      <c r="B103" s="107">
        <f ca="1">IFERROR(INDIRECT(Table_ErrorList[[#This Row],[Attention To Named Range]]),"Error")</f>
        <v>0</v>
      </c>
      <c r="C103" s="102">
        <v>1020</v>
      </c>
      <c r="D103" s="102" t="str">
        <f ca="1">IF(Table_ErrorList[[#This Row],[Manual Hierarchy]]="",CONCATENATE(TEXT(Table_ErrorList[[#This Row],[Section '#]],"00"),"-",TEXT(COUNTIF($E103:OFFSET(Table_ErrorList[[#Headers],[Section '#]],1,0,1,1),Table_ErrorList[[#This Row],[Section '#]]),"000")),Table_ErrorList[[#This Row],[Manual Hierarchy]])</f>
        <v>07-032</v>
      </c>
      <c r="E103" s="104">
        <v>7</v>
      </c>
      <c r="F103" s="104" t="str">
        <f>IFERROR(VLOOKUP(Table_ErrorList[[#This Row],[Section '#]],Table_SectionNames[],MATCH(Table_SectionNames[[#Headers],[Name]],Table_SectionNames[#Headers],0),FALSE),"Not found")</f>
        <v>Other Expenses</v>
      </c>
      <c r="G103" s="104"/>
      <c r="H103" s="107" t="str">
        <f>IFERROR(VLOOKUP(Table_ErrorList[[#This Row],[Attention To Named Range]],Table_NamedRanges[],MATCH(Table_NamedRanges[[#Headers],[Reference Type]],Table_NamedRanges[#Headers],0),FALSE),"Error")</f>
        <v>Single Cell</v>
      </c>
      <c r="I103" s="102" t="s">
        <v>579</v>
      </c>
      <c r="J103" s="107" t="str">
        <f>IF(Table_ErrorList[[#This Row],[Manual Reference]]="",Table_ErrorList[[#This Row],[''Attention To'' Refence]],Table_ErrorList[[#This Row],[Manual Reference]])&amp;","</f>
        <v>$M$30,</v>
      </c>
      <c r="K103" s="107" t="str">
        <f>SUBSTITUTE(SUBSTITUTE(VLOOKUP(Table_ErrorList[[#This Row],[Attention To Named Range]],Table_NamedRanges[],MATCH(Table_NamedRanges[[#Headers],[Reference Text]],Table_NamedRanges[#Headers],0),FALSE),"=",""),"'Travel Expense Summary'!","")</f>
        <v>$M$30</v>
      </c>
      <c r="L103" s="107"/>
      <c r="M103" s="85" t="s">
        <v>743</v>
      </c>
      <c r="N103" s="85" t="s">
        <v>750</v>
      </c>
      <c r="O103" s="85" t="b">
        <v>1</v>
      </c>
      <c r="P103" s="106" t="s">
        <v>894</v>
      </c>
      <c r="Q103" s="106" t="s">
        <v>979</v>
      </c>
      <c r="R103" s="109"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03" s="85" t="b">
        <v>1</v>
      </c>
      <c r="T103" s="85" t="str">
        <f>IF(LEN(Table_ErrorList[[#This Row],[Message Bar Display]])&gt;$U$5,"Too Long, Characters = "&amp;LEN(Table_ErrorList[[#This Row],[Message Bar Display]])," ")</f>
        <v xml:space="preserve"> </v>
      </c>
      <c r="U103" s="85" t="str">
        <f>IF(LEN(Table_ErrorList[[#This Row],[Details Explanation (Line '#1)]])&gt;$U$5,"Too Long, Characters = "&amp;LEN(Table_ErrorList[[#This Row],[Details Explanation (Line '#1)]])," ")</f>
        <v xml:space="preserve"> </v>
      </c>
      <c r="V103" s="85" t="str">
        <f>IF(LEN(Table_ErrorList[[#This Row],[Details Explanation (Line '#2)]])&gt;$U$5,"Too Long, Characters = "&amp;LEN(Table_ErrorList[[#This Row],[Details Explanation (Line '#2)]])," ")</f>
        <v xml:space="preserve"> </v>
      </c>
    </row>
    <row r="104" spans="1:22" ht="30" x14ac:dyDescent="0.25">
      <c r="A104" s="107" t="e">
        <f>AND(
VLOOKUP(Others_Expense04,Table_Expenses[],MATCH(Table_Expenses[[#Headers],[FromRequired]],Table_Expenses[#Headers],0),FALSE),
OR(Others_From04=0,Others_From04="",Others_From04=Dropdown_NotSelectedValue),
COUNTA(Others_Date04,Others_Expense04,Others_Desc04, Others_To04, Others_Receipt04, Others_KM04)&gt;0)</f>
        <v>#N/A</v>
      </c>
      <c r="B104" s="107">
        <f ca="1">IFERROR(INDIRECT(Table_ErrorList[[#This Row],[Attention To Named Range]]),"Error")</f>
        <v>0</v>
      </c>
      <c r="C104" s="102">
        <v>1030</v>
      </c>
      <c r="D104" s="102" t="str">
        <f ca="1">IF(Table_ErrorList[[#This Row],[Manual Hierarchy]]="",CONCATENATE(TEXT(Table_ErrorList[[#This Row],[Section '#]],"00"),"-",TEXT(COUNTIF($E104:OFFSET(Table_ErrorList[[#Headers],[Section '#]],1,0,1,1),Table_ErrorList[[#This Row],[Section '#]]),"000")),Table_ErrorList[[#This Row],[Manual Hierarchy]])</f>
        <v>07-033</v>
      </c>
      <c r="E104" s="104">
        <v>7</v>
      </c>
      <c r="F104" s="104" t="str">
        <f>IFERROR(VLOOKUP(Table_ErrorList[[#This Row],[Section '#]],Table_SectionNames[],MATCH(Table_SectionNames[[#Headers],[Name]],Table_SectionNames[#Headers],0),FALSE),"Not found")</f>
        <v>Other Expenses</v>
      </c>
      <c r="G104" s="104"/>
      <c r="H104" s="107" t="str">
        <f>IFERROR(VLOOKUP(Table_ErrorList[[#This Row],[Attention To Named Range]],Table_NamedRanges[],MATCH(Table_NamedRanges[[#Headers],[Reference Type]],Table_NamedRanges[#Headers],0),FALSE),"Error")</f>
        <v>Single Cell</v>
      </c>
      <c r="I104" s="102" t="s">
        <v>622</v>
      </c>
      <c r="J104" s="107" t="str">
        <f>IF(Table_ErrorList[[#This Row],[Manual Reference]]="",Table_ErrorList[[#This Row],[''Attention To'' Refence]],Table_ErrorList[[#This Row],[Manual Reference]])&amp;","</f>
        <v>$R$30,</v>
      </c>
      <c r="K104" s="107" t="str">
        <f>SUBSTITUTE(SUBSTITUTE(VLOOKUP(Table_ErrorList[[#This Row],[Attention To Named Range]],Table_NamedRanges[],MATCH(Table_NamedRanges[[#Headers],[Reference Text]],Table_NamedRanges[#Headers],0),FALSE),"=",""),"'Travel Expense Summary'!","")</f>
        <v>$R$30</v>
      </c>
      <c r="L104" s="107"/>
      <c r="M104" s="85" t="s">
        <v>744</v>
      </c>
      <c r="N104" s="85" t="s">
        <v>987</v>
      </c>
      <c r="O104" s="85" t="b">
        <v>1</v>
      </c>
      <c r="P104" s="106" t="s">
        <v>980</v>
      </c>
      <c r="Q104" s="106" t="s">
        <v>981</v>
      </c>
      <c r="R104" s="109"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04" s="85" t="b">
        <v>1</v>
      </c>
      <c r="T104" s="85" t="str">
        <f>IF(LEN(Table_ErrorList[[#This Row],[Message Bar Display]])&gt;$U$5,"Too Long, Characters = "&amp;LEN(Table_ErrorList[[#This Row],[Message Bar Display]])," ")</f>
        <v xml:space="preserve"> </v>
      </c>
      <c r="U104" s="85" t="str">
        <f>IF(LEN(Table_ErrorList[[#This Row],[Details Explanation (Line '#1)]])&gt;$U$5,"Too Long, Characters = "&amp;LEN(Table_ErrorList[[#This Row],[Details Explanation (Line '#1)]])," ")</f>
        <v xml:space="preserve"> </v>
      </c>
      <c r="V104" s="85" t="str">
        <f>IF(LEN(Table_ErrorList[[#This Row],[Details Explanation (Line '#2)]])&gt;$U$5,"Too Long, Characters = "&amp;LEN(Table_ErrorList[[#This Row],[Details Explanation (Line '#2)]])," ")</f>
        <v xml:space="preserve"> </v>
      </c>
    </row>
    <row r="105" spans="1:22" ht="30" x14ac:dyDescent="0.25">
      <c r="A105" s="107" t="e">
        <f>AND(
VLOOKUP(Others_Expense04,Table_Expenses[],MATCH(Table_Expenses[[#Headers],[ToRequired]],Table_Expenses[#Headers],0),FALSE),
OR(Others_To04=0,Others_To04="",Others_To04=Dropdown_NotSelectedValue),
COUNTA(Others_Date04,Others_Expense04,Others_Desc04, Others_From04, Others_Receipt04, Others_KM04)&gt;0)</f>
        <v>#N/A</v>
      </c>
      <c r="B105" s="107">
        <f ca="1">IFERROR(INDIRECT(Table_ErrorList[[#This Row],[Attention To Named Range]]),"Error")</f>
        <v>0</v>
      </c>
      <c r="C105" s="102">
        <v>1040</v>
      </c>
      <c r="D105" s="102" t="str">
        <f ca="1">IF(Table_ErrorList[[#This Row],[Manual Hierarchy]]="",CONCATENATE(TEXT(Table_ErrorList[[#This Row],[Section '#]],"00"),"-",TEXT(COUNTIF($E105:OFFSET(Table_ErrorList[[#Headers],[Section '#]],1,0,1,1),Table_ErrorList[[#This Row],[Section '#]]),"000")),Table_ErrorList[[#This Row],[Manual Hierarchy]])</f>
        <v>07-034</v>
      </c>
      <c r="E105" s="104">
        <v>7</v>
      </c>
      <c r="F105" s="104" t="str">
        <f>IFERROR(VLOOKUP(Table_ErrorList[[#This Row],[Section '#]],Table_SectionNames[],MATCH(Table_SectionNames[[#Headers],[Name]],Table_SectionNames[#Headers],0),FALSE),"Not found")</f>
        <v>Other Expenses</v>
      </c>
      <c r="G105" s="104"/>
      <c r="H105" s="107" t="str">
        <f>IFERROR(VLOOKUP(Table_ErrorList[[#This Row],[Attention To Named Range]],Table_NamedRanges[],MATCH(Table_NamedRanges[[#Headers],[Reference Type]],Table_NamedRanges[#Headers],0),FALSE),"Error")</f>
        <v>Single Cell</v>
      </c>
      <c r="I105" s="102" t="s">
        <v>688</v>
      </c>
      <c r="J105" s="107" t="str">
        <f>IF(Table_ErrorList[[#This Row],[Manual Reference]]="",Table_ErrorList[[#This Row],[''Attention To'' Refence]],Table_ErrorList[[#This Row],[Manual Reference]])&amp;","</f>
        <v>$T$30,</v>
      </c>
      <c r="K105" s="107" t="str">
        <f>SUBSTITUTE(SUBSTITUTE(VLOOKUP(Table_ErrorList[[#This Row],[Attention To Named Range]],Table_NamedRanges[],MATCH(Table_NamedRanges[[#Headers],[Reference Text]],Table_NamedRanges[#Headers],0),FALSE),"=",""),"'Travel Expense Summary'!","")</f>
        <v>$T$30</v>
      </c>
      <c r="L105" s="107"/>
      <c r="M105" s="85" t="s">
        <v>745</v>
      </c>
      <c r="N105" s="85" t="s">
        <v>997</v>
      </c>
      <c r="O105" s="85" t="b">
        <v>1</v>
      </c>
      <c r="P105" s="106" t="s">
        <v>983</v>
      </c>
      <c r="Q105" s="106" t="s">
        <v>981</v>
      </c>
      <c r="R105" s="109"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05" s="85" t="b">
        <v>1</v>
      </c>
      <c r="T105" s="85" t="str">
        <f>IF(LEN(Table_ErrorList[[#This Row],[Message Bar Display]])&gt;$U$5,"Too Long, Characters = "&amp;LEN(Table_ErrorList[[#This Row],[Message Bar Display]])," ")</f>
        <v xml:space="preserve"> </v>
      </c>
      <c r="U105" s="85" t="str">
        <f>IF(LEN(Table_ErrorList[[#This Row],[Details Explanation (Line '#1)]])&gt;$U$5,"Too Long, Characters = "&amp;LEN(Table_ErrorList[[#This Row],[Details Explanation (Line '#1)]])," ")</f>
        <v xml:space="preserve"> </v>
      </c>
      <c r="V105" s="85" t="str">
        <f>IF(LEN(Table_ErrorList[[#This Row],[Details Explanation (Line '#2)]])&gt;$U$5,"Too Long, Characters = "&amp;LEN(Table_ErrorList[[#This Row],[Details Explanation (Line '#2)]])," ")</f>
        <v xml:space="preserve"> </v>
      </c>
    </row>
    <row r="106" spans="1:22" ht="33.75" x14ac:dyDescent="0.25">
      <c r="A106" s="107" t="e">
        <f>AND(
VLOOKUP(Others_Expense04,Table_Expenses[],MATCH(Table_Expenses[[#Headers],[ReceiptRequired]],Table_Expenses[#Headers],0),FALSE),
OR(Others_Receipt04=0,Others_Receipt04="",Others_Receipt04=Dropdown_NotSelectedValue),
COUNTA(Others_Date04,Others_Expense04,Others_Desc04, Others_From04, Others_To04, Others_KM04)&gt;0)</f>
        <v>#N/A</v>
      </c>
      <c r="B106" s="107">
        <f ca="1">IFERROR(INDIRECT(Table_ErrorList[[#This Row],[Attention To Named Range]]),"Error")</f>
        <v>0</v>
      </c>
      <c r="C106" s="102">
        <v>1050</v>
      </c>
      <c r="D106" s="102" t="str">
        <f ca="1">IF(Table_ErrorList[[#This Row],[Manual Hierarchy]]="",CONCATENATE(TEXT(Table_ErrorList[[#This Row],[Section '#]],"00"),"-",TEXT(COUNTIF($E106:OFFSET(Table_ErrorList[[#Headers],[Section '#]],1,0,1,1),Table_ErrorList[[#This Row],[Section '#]]),"000")),Table_ErrorList[[#This Row],[Manual Hierarchy]])</f>
        <v>07-035</v>
      </c>
      <c r="E106" s="104">
        <v>7</v>
      </c>
      <c r="F106" s="104" t="str">
        <f>IFERROR(VLOOKUP(Table_ErrorList[[#This Row],[Section '#]],Table_SectionNames[],MATCH(Table_SectionNames[[#Headers],[Name]],Table_SectionNames[#Headers],0),FALSE),"Not found")</f>
        <v>Other Expenses</v>
      </c>
      <c r="G106" s="104"/>
      <c r="H106" s="107" t="str">
        <f>IFERROR(VLOOKUP(Table_ErrorList[[#This Row],[Attention To Named Range]],Table_NamedRanges[],MATCH(Table_NamedRanges[[#Headers],[Reference Type]],Table_NamedRanges[#Headers],0),FALSE),"Error")</f>
        <v>Single Cell</v>
      </c>
      <c r="I106" s="102" t="s">
        <v>666</v>
      </c>
      <c r="J106" s="107" t="str">
        <f>IF(Table_ErrorList[[#This Row],[Manual Reference]]="",Table_ErrorList[[#This Row],[''Attention To'' Refence]],Table_ErrorList[[#This Row],[Manual Reference]])&amp;","</f>
        <v>$X$30,</v>
      </c>
      <c r="K106" s="107" t="str">
        <f>SUBSTITUTE(SUBSTITUTE(VLOOKUP(Table_ErrorList[[#This Row],[Attention To Named Range]],Table_NamedRanges[],MATCH(Table_NamedRanges[[#Headers],[Reference Text]],Table_NamedRanges[#Headers],0),FALSE),"=",""),"'Travel Expense Summary'!","")</f>
        <v>$X$30</v>
      </c>
      <c r="L106" s="107"/>
      <c r="M106" s="85" t="s">
        <v>746</v>
      </c>
      <c r="N106" s="85" t="s">
        <v>751</v>
      </c>
      <c r="O106" s="85" t="b">
        <v>1</v>
      </c>
      <c r="P106" s="106" t="s">
        <v>1079</v>
      </c>
      <c r="Q106" s="106" t="s">
        <v>728</v>
      </c>
      <c r="R106" s="109"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06" s="85" t="b">
        <v>1</v>
      </c>
      <c r="T106" s="85" t="str">
        <f>IF(LEN(Table_ErrorList[[#This Row],[Message Bar Display]])&gt;$U$5,"Too Long, Characters = "&amp;LEN(Table_ErrorList[[#This Row],[Message Bar Display]])," ")</f>
        <v xml:space="preserve"> </v>
      </c>
      <c r="U106" s="85" t="str">
        <f>IF(LEN(Table_ErrorList[[#This Row],[Details Explanation (Line '#1)]])&gt;$U$5,"Too Long, Characters = "&amp;LEN(Table_ErrorList[[#This Row],[Details Explanation (Line '#1)]])," ")</f>
        <v xml:space="preserve"> </v>
      </c>
      <c r="V106" s="85" t="str">
        <f>IF(LEN(Table_ErrorList[[#This Row],[Details Explanation (Line '#2)]])&gt;$U$5,"Too Long, Characters = "&amp;LEN(Table_ErrorList[[#This Row],[Details Explanation (Line '#2)]])," ")</f>
        <v xml:space="preserve"> </v>
      </c>
    </row>
    <row r="107" spans="1:22" ht="45" x14ac:dyDescent="0.25">
      <c r="A107" s="107" t="e">
        <f>AND(
VLOOKUP(Others_Expense04,Table_Expenses[],MATCH(Table_Expenses[[#Headers],[KMRequired]],Table_Expenses[#Headers],0),FALSE),
OR(Others_KM04=0,Others_KM04="",Others_KM04=Dropdown_NotSelectedValue),
COUNTA(Others_Date04,Others_Expense04,Others_Desc04, Others_From04, Others_To04, Others_Receipt04)&gt;0)</f>
        <v>#N/A</v>
      </c>
      <c r="B107" s="107">
        <f ca="1">IFERROR(INDIRECT(Table_ErrorList[[#This Row],[Attention To Named Range]]),"Error")</f>
        <v>0</v>
      </c>
      <c r="C107" s="102">
        <v>1060</v>
      </c>
      <c r="D107" s="102" t="str">
        <f ca="1">IF(Table_ErrorList[[#This Row],[Manual Hierarchy]]="",CONCATENATE(TEXT(Table_ErrorList[[#This Row],[Section '#]],"00"),"-",TEXT(COUNTIF($E107:OFFSET(Table_ErrorList[[#Headers],[Section '#]],1,0,1,1),Table_ErrorList[[#This Row],[Section '#]]),"000")),Table_ErrorList[[#This Row],[Manual Hierarchy]])</f>
        <v>07-036</v>
      </c>
      <c r="E107" s="104">
        <v>7</v>
      </c>
      <c r="F107" s="104" t="str">
        <f>IFERROR(VLOOKUP(Table_ErrorList[[#This Row],[Section '#]],Table_SectionNames[],MATCH(Table_SectionNames[[#Headers],[Name]],Table_SectionNames[#Headers],0),FALSE),"Not found")</f>
        <v>Other Expenses</v>
      </c>
      <c r="G107" s="104"/>
      <c r="H107" s="107" t="str">
        <f>IFERROR(VLOOKUP(Table_ErrorList[[#This Row],[Attention To Named Range]],Table_NamedRanges[],MATCH(Table_NamedRanges[[#Headers],[Reference Type]],Table_NamedRanges[#Headers],0),FALSE),"Error")</f>
        <v>Single Cell</v>
      </c>
      <c r="I107" s="102" t="s">
        <v>644</v>
      </c>
      <c r="J107" s="107" t="str">
        <f>IF(Table_ErrorList[[#This Row],[Manual Reference]]="",Table_ErrorList[[#This Row],[''Attention To'' Refence]],Table_ErrorList[[#This Row],[Manual Reference]])&amp;","</f>
        <v>$Y$30,</v>
      </c>
      <c r="K107" s="107" t="str">
        <f>SUBSTITUTE(SUBSTITUTE(VLOOKUP(Table_ErrorList[[#This Row],[Attention To Named Range]],Table_NamedRanges[],MATCH(Table_NamedRanges[[#Headers],[Reference Text]],Table_NamedRanges[#Headers],0),FALSE),"=",""),"'Travel Expense Summary'!","")</f>
        <v>$Y$30</v>
      </c>
      <c r="L107" s="107"/>
      <c r="M107" s="85" t="s">
        <v>747</v>
      </c>
      <c r="N107" s="85" t="s">
        <v>752</v>
      </c>
      <c r="O107" s="85" t="b">
        <v>1</v>
      </c>
      <c r="P107" s="106" t="s">
        <v>892</v>
      </c>
      <c r="Q107" s="106" t="s">
        <v>893</v>
      </c>
      <c r="R107" s="109"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07" s="85" t="b">
        <v>1</v>
      </c>
      <c r="T107" s="85" t="str">
        <f>IF(LEN(Table_ErrorList[[#This Row],[Message Bar Display]])&gt;$U$5,"Too Long, Characters = "&amp;LEN(Table_ErrorList[[#This Row],[Message Bar Display]])," ")</f>
        <v xml:space="preserve"> </v>
      </c>
      <c r="U107" s="85" t="str">
        <f>IF(LEN(Table_ErrorList[[#This Row],[Details Explanation (Line '#1)]])&gt;$U$5,"Too Long, Characters = "&amp;LEN(Table_ErrorList[[#This Row],[Details Explanation (Line '#1)]])," ")</f>
        <v xml:space="preserve"> </v>
      </c>
      <c r="V107" s="85" t="str">
        <f>IF(LEN(Table_ErrorList[[#This Row],[Details Explanation (Line '#2)]])&gt;$U$5,"Too Long, Characters = "&amp;LEN(Table_ErrorList[[#This Row],[Details Explanation (Line '#2)]])," ")</f>
        <v xml:space="preserve"> </v>
      </c>
    </row>
    <row r="108" spans="1:22" ht="30" x14ac:dyDescent="0.25">
      <c r="A108" s="107" t="b">
        <f>AND(
OR(Others_Date05=0,Others_Date05="",Others_Date05=Dropdown_NotSelectedValue),
COUNTA(Others_Expense05,Others_Desc05, Others_From05, Others_To05, Others_Receipt05, Others_KM05)&gt;0)</f>
        <v>0</v>
      </c>
      <c r="B108" s="107">
        <f ca="1">IFERROR(INDIRECT(Table_ErrorList[[#This Row],[Attention To Named Range]]),"Error")</f>
        <v>0</v>
      </c>
      <c r="C108" s="102">
        <v>1100</v>
      </c>
      <c r="D108" s="102" t="str">
        <f ca="1">IF(Table_ErrorList[[#This Row],[Manual Hierarchy]]="",CONCATENATE(TEXT(Table_ErrorList[[#This Row],[Section '#]],"00"),"-",TEXT(COUNTIF($E108:OFFSET(Table_ErrorList[[#Headers],[Section '#]],1,0,1,1),Table_ErrorList[[#This Row],[Section '#]]),"000")),Table_ErrorList[[#This Row],[Manual Hierarchy]])</f>
        <v>07-037</v>
      </c>
      <c r="E108" s="104">
        <v>7</v>
      </c>
      <c r="F108" s="104" t="str">
        <f>IFERROR(VLOOKUP(Table_ErrorList[[#This Row],[Section '#]],Table_SectionNames[],MATCH(Table_SectionNames[[#Headers],[Name]],Table_SectionNames[#Headers],0),FALSE),"Not found")</f>
        <v>Other Expenses</v>
      </c>
      <c r="G108" s="104"/>
      <c r="H108" s="107" t="str">
        <f>IFERROR(VLOOKUP(Table_ErrorList[[#This Row],[Attention To Named Range]],Table_NamedRanges[],MATCH(Table_NamedRanges[[#Headers],[Reference Type]],Table_NamedRanges[#Headers],0),FALSE),"Error")</f>
        <v>Single Cell</v>
      </c>
      <c r="I108" s="102" t="s">
        <v>525</v>
      </c>
      <c r="J108" s="107" t="str">
        <f>IF(Table_ErrorList[[#This Row],[Manual Reference]]="",Table_ErrorList[[#This Row],[''Attention To'' Refence]],Table_ErrorList[[#This Row],[Manual Reference]])&amp;","</f>
        <v>$I$31,</v>
      </c>
      <c r="K108" s="107" t="str">
        <f>SUBSTITUTE(SUBSTITUTE(VLOOKUP(Table_ErrorList[[#This Row],[Attention To Named Range]],Table_NamedRanges[],MATCH(Table_NamedRanges[[#Headers],[Reference Text]],Table_NamedRanges[#Headers],0),FALSE),"=",""),"'Travel Expense Summary'!","")</f>
        <v>$I$31</v>
      </c>
      <c r="L108" s="107"/>
      <c r="M108" s="85" t="s">
        <v>753</v>
      </c>
      <c r="N108" s="85" t="s">
        <v>760</v>
      </c>
      <c r="O108" s="85" t="b">
        <v>1</v>
      </c>
      <c r="P108" s="106" t="s">
        <v>260</v>
      </c>
      <c r="Q108" s="106" t="s">
        <v>261</v>
      </c>
      <c r="R108"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08" s="85" t="b">
        <v>1</v>
      </c>
      <c r="T108" s="85" t="str">
        <f>IF(LEN(Table_ErrorList[[#This Row],[Message Bar Display]])&gt;$U$5,"Too Long, Characters = "&amp;LEN(Table_ErrorList[[#This Row],[Message Bar Display]])," ")</f>
        <v xml:space="preserve"> </v>
      </c>
      <c r="U108" s="85" t="str">
        <f>IF(LEN(Table_ErrorList[[#This Row],[Details Explanation (Line '#1)]])&gt;$U$5,"Too Long, Characters = "&amp;LEN(Table_ErrorList[[#This Row],[Details Explanation (Line '#1)]])," ")</f>
        <v xml:space="preserve"> </v>
      </c>
      <c r="V108" s="85" t="str">
        <f>IF(LEN(Table_ErrorList[[#This Row],[Details Explanation (Line '#2)]])&gt;$U$5,"Too Long, Characters = "&amp;LEN(Table_ErrorList[[#This Row],[Details Explanation (Line '#2)]])," ")</f>
        <v xml:space="preserve"> </v>
      </c>
    </row>
    <row r="109" spans="1:22" s="32" customFormat="1" ht="30" x14ac:dyDescent="0.25">
      <c r="A109" s="107" t="b">
        <f>IF(Others_Date05&gt;0,NOT(AND(Field15_TravelStartDate&lt;=Others_Date05,Field16_TravelEndDate&gt;=Others_Date05)),FALSE)</f>
        <v>0</v>
      </c>
      <c r="B109" s="107">
        <f ca="1">IFERROR(INDIRECT(Table_ErrorList[[#This Row],[Attention To Named Range]]),"Error")</f>
        <v>0</v>
      </c>
      <c r="C109" s="102">
        <v>1101</v>
      </c>
      <c r="D109" s="102" t="str">
        <f ca="1">IF(Table_ErrorList[[#This Row],[Manual Hierarchy]]="",CONCATENATE(TEXT(Table_ErrorList[[#This Row],[Section '#]],"00"),"-",TEXT(COUNTIF($E109:OFFSET(Table_ErrorList[[#Headers],[Section '#]],1,0,1,1),Table_ErrorList[[#This Row],[Section '#]]),"000")),Table_ErrorList[[#This Row],[Manual Hierarchy]])</f>
        <v>07-038</v>
      </c>
      <c r="E109" s="104">
        <v>7</v>
      </c>
      <c r="F109" s="104" t="str">
        <f>IFERROR(VLOOKUP(Table_ErrorList[[#This Row],[Section '#]],Table_SectionNames[],MATCH(Table_SectionNames[[#Headers],[Name]],Table_SectionNames[#Headers],0),FALSE),"Not found")</f>
        <v>Other Expenses</v>
      </c>
      <c r="G109" s="104"/>
      <c r="H109" s="107" t="str">
        <f>IFERROR(VLOOKUP(Table_ErrorList[[#This Row],[Attention To Named Range]],Table_NamedRanges[],MATCH(Table_NamedRanges[[#Headers],[Reference Type]],Table_NamedRanges[#Headers],0),FALSE),"Error")</f>
        <v>Single Cell</v>
      </c>
      <c r="I109" s="102" t="s">
        <v>525</v>
      </c>
      <c r="J109" s="107" t="str">
        <f>IF(Table_ErrorList[[#This Row],[Manual Reference]]="",Table_ErrorList[[#This Row],[''Attention To'' Refence]],Table_ErrorList[[#This Row],[Manual Reference]])&amp;","</f>
        <v>$I$31,</v>
      </c>
      <c r="K109" s="107" t="str">
        <f>SUBSTITUTE(SUBSTITUTE(VLOOKUP(Table_ErrorList[[#This Row],[Attention To Named Range]],Table_NamedRanges[],MATCH(Table_NamedRanges[[#Headers],[Reference Text]],Table_NamedRanges[#Headers],0),FALSE),"=",""),"'Travel Expense Summary'!","")</f>
        <v>$I$31</v>
      </c>
      <c r="L109" s="107"/>
      <c r="M109" s="85" t="s">
        <v>1220</v>
      </c>
      <c r="N109" s="85" t="s">
        <v>1227</v>
      </c>
      <c r="O109" s="85" t="b">
        <v>1</v>
      </c>
      <c r="P109" s="106" t="s">
        <v>1228</v>
      </c>
      <c r="Q109" s="106" t="s">
        <v>1229</v>
      </c>
      <c r="R109"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9" s="85"/>
      <c r="T109" s="107" t="str">
        <f>IF(LEN(Table_ErrorList[[#This Row],[Message Bar Display]])&gt;$U$5,"Too Long, Characters = "&amp;LEN(Table_ErrorList[[#This Row],[Message Bar Display]])," ")</f>
        <v xml:space="preserve"> </v>
      </c>
      <c r="U109" s="107" t="str">
        <f>IF(LEN(Table_ErrorList[[#This Row],[Details Explanation (Line '#1)]])&gt;$U$5,"Too Long, Characters = "&amp;LEN(Table_ErrorList[[#This Row],[Details Explanation (Line '#1)]])," ")</f>
        <v xml:space="preserve"> </v>
      </c>
      <c r="V109" s="107" t="str">
        <f>IF(LEN(Table_ErrorList[[#This Row],[Details Explanation (Line '#2)]])&gt;$U$5,"Too Long, Characters = "&amp;LEN(Table_ErrorList[[#This Row],[Details Explanation (Line '#2)]])," ")</f>
        <v xml:space="preserve"> </v>
      </c>
    </row>
    <row r="110" spans="1:22" ht="33.75" x14ac:dyDescent="0.25">
      <c r="A110" s="107" t="b">
        <f>AND(
OR(Others_Expense05=0,Others_Expense05="",Others_Expense05=Dropdown_NotSelectedValue),
COUNTA(Others_Date05,Others_Desc05, Others_From05, Others_To05, Others_Receipt05, Others_KM05)&gt;0)</f>
        <v>0</v>
      </c>
      <c r="B110" s="107">
        <f ca="1">IFERROR(INDIRECT(Table_ErrorList[[#This Row],[Attention To Named Range]]),"Error")</f>
        <v>0</v>
      </c>
      <c r="C110" s="102">
        <v>1110</v>
      </c>
      <c r="D110" s="102" t="str">
        <f ca="1">IF(Table_ErrorList[[#This Row],[Manual Hierarchy]]="",CONCATENATE(TEXT(Table_ErrorList[[#This Row],[Section '#]],"00"),"-",TEXT(COUNTIF($E110:OFFSET(Table_ErrorList[[#Headers],[Section '#]],1,0,1,1),Table_ErrorList[[#This Row],[Section '#]]),"000")),Table_ErrorList[[#This Row],[Manual Hierarchy]])</f>
        <v>07-039</v>
      </c>
      <c r="E110" s="104">
        <v>7</v>
      </c>
      <c r="F110" s="104" t="str">
        <f>IFERROR(VLOOKUP(Table_ErrorList[[#This Row],[Section '#]],Table_SectionNames[],MATCH(Table_SectionNames[[#Headers],[Name]],Table_SectionNames[#Headers],0),FALSE),"Not found")</f>
        <v>Other Expenses</v>
      </c>
      <c r="G110" s="104"/>
      <c r="H110" s="107" t="str">
        <f>IFERROR(VLOOKUP(Table_ErrorList[[#This Row],[Attention To Named Range]],Table_NamedRanges[],MATCH(Table_NamedRanges[[#Headers],[Reference Type]],Table_NamedRanges[#Headers],0),FALSE),"Error")</f>
        <v>Single Cell</v>
      </c>
      <c r="I110" s="102" t="s">
        <v>602</v>
      </c>
      <c r="J110" s="107" t="str">
        <f>IF(Table_ErrorList[[#This Row],[Manual Reference]]="",Table_ErrorList[[#This Row],[''Attention To'' Refence]],Table_ErrorList[[#This Row],[Manual Reference]])&amp;","</f>
        <v>$K$31,</v>
      </c>
      <c r="K110" s="107" t="str">
        <f>SUBSTITUTE(SUBSTITUTE(VLOOKUP(Table_ErrorList[[#This Row],[Attention To Named Range]],Table_NamedRanges[],MATCH(Table_NamedRanges[[#Headers],[Reference Text]],Table_NamedRanges[#Headers],0),FALSE),"=",""),"'Travel Expense Summary'!","")</f>
        <v>$K$31</v>
      </c>
      <c r="L110" s="107"/>
      <c r="M110" s="85" t="s">
        <v>754</v>
      </c>
      <c r="N110" s="85" t="s">
        <v>761</v>
      </c>
      <c r="O110" s="85" t="b">
        <v>1</v>
      </c>
      <c r="P110" s="106" t="s">
        <v>705</v>
      </c>
      <c r="Q110" s="106" t="s">
        <v>708</v>
      </c>
      <c r="R110"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0" s="85" t="b">
        <v>1</v>
      </c>
      <c r="T110" s="85" t="str">
        <f>IF(LEN(Table_ErrorList[[#This Row],[Message Bar Display]])&gt;$U$5,"Too Long, Characters = "&amp;LEN(Table_ErrorList[[#This Row],[Message Bar Display]])," ")</f>
        <v xml:space="preserve"> </v>
      </c>
      <c r="U110" s="85" t="str">
        <f>IF(LEN(Table_ErrorList[[#This Row],[Details Explanation (Line '#1)]])&gt;$U$5,"Too Long, Characters = "&amp;LEN(Table_ErrorList[[#This Row],[Details Explanation (Line '#1)]])," ")</f>
        <v xml:space="preserve"> </v>
      </c>
      <c r="V110" s="85" t="str">
        <f>IF(LEN(Table_ErrorList[[#This Row],[Details Explanation (Line '#2)]])&gt;$U$5,"Too Long, Characters = "&amp;LEN(Table_ErrorList[[#This Row],[Details Explanation (Line '#2)]])," ")</f>
        <v xml:space="preserve"> </v>
      </c>
    </row>
    <row r="111" spans="1:22" s="32" customFormat="1" ht="30" x14ac:dyDescent="0.25">
      <c r="A111" s="107" t="b">
        <f>IF(AND(ISBLANK(Others_Expense05)=FALSE,Others_Expense05&lt;&gt;Dropdown_NotSelectedValue),IFERROR(NOT(MATCH(Others_Expense05,Dropdown_Expenses,0)&gt;0),TRUE),FALSE)</f>
        <v>0</v>
      </c>
      <c r="B111" s="107">
        <f ca="1">IFERROR(INDIRECT(Table_ErrorList[[#This Row],[Attention To Named Range]]),"Error")</f>
        <v>0</v>
      </c>
      <c r="C111" s="102">
        <v>1111</v>
      </c>
      <c r="D111" s="102" t="str">
        <f ca="1">IF(Table_ErrorList[[#This Row],[Manual Hierarchy]]="",CONCATENATE(TEXT(Table_ErrorList[[#This Row],[Section '#]],"00"),"-",TEXT(COUNTIF($E111:OFFSET(Table_ErrorList[[#Headers],[Section '#]],1,0,1,1),Table_ErrorList[[#This Row],[Section '#]]),"000")),Table_ErrorList[[#This Row],[Manual Hierarchy]])</f>
        <v>07-040</v>
      </c>
      <c r="E111" s="104">
        <v>7</v>
      </c>
      <c r="F111" s="104" t="str">
        <f>IFERROR(VLOOKUP(Table_ErrorList[[#This Row],[Section '#]],Table_SectionNames[],MATCH(Table_SectionNames[[#Headers],[Name]],Table_SectionNames[#Headers],0),FALSE),"Not found")</f>
        <v>Other Expenses</v>
      </c>
      <c r="G111" s="104"/>
      <c r="H111" s="107" t="str">
        <f>IFERROR(VLOOKUP(Table_ErrorList[[#This Row],[Attention To Named Range]],Table_NamedRanges[],MATCH(Table_NamedRanges[[#Headers],[Reference Type]],Table_NamedRanges[#Headers],0),FALSE),"Error")</f>
        <v>Single Cell</v>
      </c>
      <c r="I111" s="102" t="s">
        <v>602</v>
      </c>
      <c r="J111" s="107" t="str">
        <f>IF(Table_ErrorList[[#This Row],[Manual Reference]]="",Table_ErrorList[[#This Row],[''Attention To'' Refence]],Table_ErrorList[[#This Row],[Manual Reference]])&amp;","</f>
        <v>$K$31,</v>
      </c>
      <c r="K111" s="107" t="str">
        <f>SUBSTITUTE(SUBSTITUTE(VLOOKUP(Table_ErrorList[[#This Row],[Attention To Named Range]],Table_NamedRanges[],MATCH(Table_NamedRanges[[#Headers],[Reference Text]],Table_NamedRanges[#Headers],0),FALSE),"=",""),"'Travel Expense Summary'!","")</f>
        <v>$K$31</v>
      </c>
      <c r="L111" s="107"/>
      <c r="M111" s="85" t="s">
        <v>1237</v>
      </c>
      <c r="N111" s="85" t="s">
        <v>1240</v>
      </c>
      <c r="O111" s="85" t="b">
        <v>1</v>
      </c>
      <c r="P111" s="106" t="s">
        <v>1241</v>
      </c>
      <c r="Q111" s="106" t="s">
        <v>1232</v>
      </c>
      <c r="R111"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11" s="85" t="b">
        <v>1</v>
      </c>
      <c r="T111" s="107" t="str">
        <f>IF(LEN(Table_ErrorList[[#This Row],[Message Bar Display]])&gt;$U$5,"Too Long, Characters = "&amp;LEN(Table_ErrorList[[#This Row],[Message Bar Display]])," ")</f>
        <v xml:space="preserve"> </v>
      </c>
      <c r="U111" s="107" t="str">
        <f>IF(LEN(Table_ErrorList[[#This Row],[Details Explanation (Line '#1)]])&gt;$U$5,"Too Long, Characters = "&amp;LEN(Table_ErrorList[[#This Row],[Details Explanation (Line '#1)]])," ")</f>
        <v xml:space="preserve"> </v>
      </c>
      <c r="V111" s="107" t="str">
        <f>IF(LEN(Table_ErrorList[[#This Row],[Details Explanation (Line '#2)]])&gt;$U$5,"Too Long, Characters = "&amp;LEN(Table_ErrorList[[#This Row],[Details Explanation (Line '#2)]])," ")</f>
        <v xml:space="preserve"> </v>
      </c>
    </row>
    <row r="112" spans="1:22" ht="30" x14ac:dyDescent="0.25">
      <c r="A112" s="107" t="e">
        <f>AND(
VLOOKUP(Others_Expense05,Table_Expenses[],MATCH(Table_Expenses[[#Headers],[DescriptionRequired]],Table_Expenses[#Headers],0),FALSE),
OR(Others_Desc05=0,Others_Desc05="",Others_Desc05=Dropdown_NotSelectedValue),
COUNTA(Others_Date05,Others_Expense05,, Others_From05, Others_To05, Others_Receipt05, Others_KM05)&gt;0)</f>
        <v>#N/A</v>
      </c>
      <c r="B112" s="107">
        <f ca="1">IFERROR(INDIRECT(Table_ErrorList[[#This Row],[Attention To Named Range]]),"Error")</f>
        <v>0</v>
      </c>
      <c r="C112" s="102">
        <v>1120</v>
      </c>
      <c r="D112" s="102" t="str">
        <f ca="1">IF(Table_ErrorList[[#This Row],[Manual Hierarchy]]="",CONCATENATE(TEXT(Table_ErrorList[[#This Row],[Section '#]],"00"),"-",TEXT(COUNTIF($E112:OFFSET(Table_ErrorList[[#Headers],[Section '#]],1,0,1,1),Table_ErrorList[[#This Row],[Section '#]]),"000")),Table_ErrorList[[#This Row],[Manual Hierarchy]])</f>
        <v>07-041</v>
      </c>
      <c r="E112" s="104">
        <v>7</v>
      </c>
      <c r="F112" s="104" t="str">
        <f>IFERROR(VLOOKUP(Table_ErrorList[[#This Row],[Section '#]],Table_SectionNames[],MATCH(Table_SectionNames[[#Headers],[Name]],Table_SectionNames[#Headers],0),FALSE),"Not found")</f>
        <v>Other Expenses</v>
      </c>
      <c r="G112" s="104"/>
      <c r="H112" s="107" t="str">
        <f>IFERROR(VLOOKUP(Table_ErrorList[[#This Row],[Attention To Named Range]],Table_NamedRanges[],MATCH(Table_NamedRanges[[#Headers],[Reference Type]],Table_NamedRanges[#Headers],0),FALSE),"Error")</f>
        <v>Single Cell</v>
      </c>
      <c r="I112" s="102" t="s">
        <v>581</v>
      </c>
      <c r="J112" s="107" t="str">
        <f>IF(Table_ErrorList[[#This Row],[Manual Reference]]="",Table_ErrorList[[#This Row],[''Attention To'' Refence]],Table_ErrorList[[#This Row],[Manual Reference]])&amp;","</f>
        <v>$M$31,</v>
      </c>
      <c r="K112" s="107" t="str">
        <f>SUBSTITUTE(SUBSTITUTE(VLOOKUP(Table_ErrorList[[#This Row],[Attention To Named Range]],Table_NamedRanges[],MATCH(Table_NamedRanges[[#Headers],[Reference Text]],Table_NamedRanges[#Headers],0),FALSE),"=",""),"'Travel Expense Summary'!","")</f>
        <v>$M$31</v>
      </c>
      <c r="L112" s="107"/>
      <c r="M112" s="85" t="s">
        <v>755</v>
      </c>
      <c r="N112" s="85" t="s">
        <v>762</v>
      </c>
      <c r="O112" s="85" t="b">
        <v>1</v>
      </c>
      <c r="P112" s="106" t="s">
        <v>894</v>
      </c>
      <c r="Q112" s="106" t="s">
        <v>979</v>
      </c>
      <c r="R112"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12" s="85" t="b">
        <v>1</v>
      </c>
      <c r="T112" s="85" t="str">
        <f>IF(LEN(Table_ErrorList[[#This Row],[Message Bar Display]])&gt;$U$5,"Too Long, Characters = "&amp;LEN(Table_ErrorList[[#This Row],[Message Bar Display]])," ")</f>
        <v xml:space="preserve"> </v>
      </c>
      <c r="U112" s="85" t="str">
        <f>IF(LEN(Table_ErrorList[[#This Row],[Details Explanation (Line '#1)]])&gt;$U$5,"Too Long, Characters = "&amp;LEN(Table_ErrorList[[#This Row],[Details Explanation (Line '#1)]])," ")</f>
        <v xml:space="preserve"> </v>
      </c>
      <c r="V112" s="85" t="str">
        <f>IF(LEN(Table_ErrorList[[#This Row],[Details Explanation (Line '#2)]])&gt;$U$5,"Too Long, Characters = "&amp;LEN(Table_ErrorList[[#This Row],[Details Explanation (Line '#2)]])," ")</f>
        <v xml:space="preserve"> </v>
      </c>
    </row>
    <row r="113" spans="1:22" ht="30" x14ac:dyDescent="0.25">
      <c r="A113" s="107" t="e">
        <f>AND(
VLOOKUP(Others_Expense05,Table_Expenses[],MATCH(Table_Expenses[[#Headers],[FromRequired]],Table_Expenses[#Headers],0),FALSE),
OR(Others_From05=0,Others_From05="",Others_From05=Dropdown_NotSelectedValue),
COUNTA(Others_Date05,Others_Expense05,Others_Desc05, Others_To05, Others_Receipt05, Others_KM05)&gt;0)</f>
        <v>#N/A</v>
      </c>
      <c r="B113" s="107">
        <f ca="1">IFERROR(INDIRECT(Table_ErrorList[[#This Row],[Attention To Named Range]]),"Error")</f>
        <v>0</v>
      </c>
      <c r="C113" s="102">
        <v>1130</v>
      </c>
      <c r="D113" s="102" t="str">
        <f ca="1">IF(Table_ErrorList[[#This Row],[Manual Hierarchy]]="",CONCATENATE(TEXT(Table_ErrorList[[#This Row],[Section '#]],"00"),"-",TEXT(COUNTIF($E113:OFFSET(Table_ErrorList[[#Headers],[Section '#]],1,0,1,1),Table_ErrorList[[#This Row],[Section '#]]),"000")),Table_ErrorList[[#This Row],[Manual Hierarchy]])</f>
        <v>07-042</v>
      </c>
      <c r="E113" s="104">
        <v>7</v>
      </c>
      <c r="F113" s="104" t="str">
        <f>IFERROR(VLOOKUP(Table_ErrorList[[#This Row],[Section '#]],Table_SectionNames[],MATCH(Table_SectionNames[[#Headers],[Name]],Table_SectionNames[#Headers],0),FALSE),"Not found")</f>
        <v>Other Expenses</v>
      </c>
      <c r="G113" s="104"/>
      <c r="H113" s="107" t="str">
        <f>IFERROR(VLOOKUP(Table_ErrorList[[#This Row],[Attention To Named Range]],Table_NamedRanges[],MATCH(Table_NamedRanges[[#Headers],[Reference Type]],Table_NamedRanges[#Headers],0),FALSE),"Error")</f>
        <v>Single Cell</v>
      </c>
      <c r="I113" s="102" t="s">
        <v>624</v>
      </c>
      <c r="J113" s="107" t="str">
        <f>IF(Table_ErrorList[[#This Row],[Manual Reference]]="",Table_ErrorList[[#This Row],[''Attention To'' Refence]],Table_ErrorList[[#This Row],[Manual Reference]])&amp;","</f>
        <v>$R$31,</v>
      </c>
      <c r="K113" s="107" t="str">
        <f>SUBSTITUTE(SUBSTITUTE(VLOOKUP(Table_ErrorList[[#This Row],[Attention To Named Range]],Table_NamedRanges[],MATCH(Table_NamedRanges[[#Headers],[Reference Text]],Table_NamedRanges[#Headers],0),FALSE),"=",""),"'Travel Expense Summary'!","")</f>
        <v>$R$31</v>
      </c>
      <c r="L113" s="107"/>
      <c r="M113" s="85" t="s">
        <v>756</v>
      </c>
      <c r="N113" s="85" t="s">
        <v>988</v>
      </c>
      <c r="O113" s="85" t="b">
        <v>1</v>
      </c>
      <c r="P113" s="106" t="s">
        <v>980</v>
      </c>
      <c r="Q113" s="106" t="s">
        <v>981</v>
      </c>
      <c r="R113"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13" s="85" t="b">
        <v>1</v>
      </c>
      <c r="T113" s="85" t="str">
        <f>IF(LEN(Table_ErrorList[[#This Row],[Message Bar Display]])&gt;$U$5,"Too Long, Characters = "&amp;LEN(Table_ErrorList[[#This Row],[Message Bar Display]])," ")</f>
        <v xml:space="preserve"> </v>
      </c>
      <c r="U113" s="85" t="str">
        <f>IF(LEN(Table_ErrorList[[#This Row],[Details Explanation (Line '#1)]])&gt;$U$5,"Too Long, Characters = "&amp;LEN(Table_ErrorList[[#This Row],[Details Explanation (Line '#1)]])," ")</f>
        <v xml:space="preserve"> </v>
      </c>
      <c r="V113" s="85" t="str">
        <f>IF(LEN(Table_ErrorList[[#This Row],[Details Explanation (Line '#2)]])&gt;$U$5,"Too Long, Characters = "&amp;LEN(Table_ErrorList[[#This Row],[Details Explanation (Line '#2)]])," ")</f>
        <v xml:space="preserve"> </v>
      </c>
    </row>
    <row r="114" spans="1:22" ht="30" x14ac:dyDescent="0.25">
      <c r="A114" s="107" t="e">
        <f>AND(
VLOOKUP(Others_Expense05,Table_Expenses[],MATCH(Table_Expenses[[#Headers],[ToRequired]],Table_Expenses[#Headers],0),FALSE),
OR(Others_To05=0,Others_To05="",Others_To05=Dropdown_NotSelectedValue),
COUNTA(Others_Date05,Others_Expense05,Others_Desc05, Others_From05, Others_Receipt05, Others_KM05)&gt;0)</f>
        <v>#N/A</v>
      </c>
      <c r="B114" s="107">
        <f ca="1">IFERROR(INDIRECT(Table_ErrorList[[#This Row],[Attention To Named Range]]),"Error")</f>
        <v>0</v>
      </c>
      <c r="C114" s="102">
        <v>1140</v>
      </c>
      <c r="D114" s="102" t="str">
        <f ca="1">IF(Table_ErrorList[[#This Row],[Manual Hierarchy]]="",CONCATENATE(TEXT(Table_ErrorList[[#This Row],[Section '#]],"00"),"-",TEXT(COUNTIF($E114:OFFSET(Table_ErrorList[[#Headers],[Section '#]],1,0,1,1),Table_ErrorList[[#This Row],[Section '#]]),"000")),Table_ErrorList[[#This Row],[Manual Hierarchy]])</f>
        <v>07-043</v>
      </c>
      <c r="E114" s="104">
        <v>7</v>
      </c>
      <c r="F114" s="104" t="str">
        <f>IFERROR(VLOOKUP(Table_ErrorList[[#This Row],[Section '#]],Table_SectionNames[],MATCH(Table_SectionNames[[#Headers],[Name]],Table_SectionNames[#Headers],0),FALSE),"Not found")</f>
        <v>Other Expenses</v>
      </c>
      <c r="G114" s="104"/>
      <c r="H114" s="107" t="str">
        <f>IFERROR(VLOOKUP(Table_ErrorList[[#This Row],[Attention To Named Range]],Table_NamedRanges[],MATCH(Table_NamedRanges[[#Headers],[Reference Type]],Table_NamedRanges[#Headers],0),FALSE),"Error")</f>
        <v>Single Cell</v>
      </c>
      <c r="I114" s="102" t="s">
        <v>690</v>
      </c>
      <c r="J114" s="107" t="str">
        <f>IF(Table_ErrorList[[#This Row],[Manual Reference]]="",Table_ErrorList[[#This Row],[''Attention To'' Refence]],Table_ErrorList[[#This Row],[Manual Reference]])&amp;","</f>
        <v>$T$31,</v>
      </c>
      <c r="K114" s="107" t="str">
        <f>SUBSTITUTE(SUBSTITUTE(VLOOKUP(Table_ErrorList[[#This Row],[Attention To Named Range]],Table_NamedRanges[],MATCH(Table_NamedRanges[[#Headers],[Reference Text]],Table_NamedRanges[#Headers],0),FALSE),"=",""),"'Travel Expense Summary'!","")</f>
        <v>$T$31</v>
      </c>
      <c r="L114" s="107"/>
      <c r="M114" s="85" t="s">
        <v>757</v>
      </c>
      <c r="N114" s="85" t="s">
        <v>998</v>
      </c>
      <c r="O114" s="85" t="b">
        <v>1</v>
      </c>
      <c r="P114" s="106" t="s">
        <v>983</v>
      </c>
      <c r="Q114" s="106" t="s">
        <v>981</v>
      </c>
      <c r="R114"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14" s="85" t="b">
        <v>1</v>
      </c>
      <c r="T114" s="85" t="str">
        <f>IF(LEN(Table_ErrorList[[#This Row],[Message Bar Display]])&gt;$U$5,"Too Long, Characters = "&amp;LEN(Table_ErrorList[[#This Row],[Message Bar Display]])," ")</f>
        <v xml:space="preserve"> </v>
      </c>
      <c r="U114" s="85" t="str">
        <f>IF(LEN(Table_ErrorList[[#This Row],[Details Explanation (Line '#1)]])&gt;$U$5,"Too Long, Characters = "&amp;LEN(Table_ErrorList[[#This Row],[Details Explanation (Line '#1)]])," ")</f>
        <v xml:space="preserve"> </v>
      </c>
      <c r="V114" s="85" t="str">
        <f>IF(LEN(Table_ErrorList[[#This Row],[Details Explanation (Line '#2)]])&gt;$U$5,"Too Long, Characters = "&amp;LEN(Table_ErrorList[[#This Row],[Details Explanation (Line '#2)]])," ")</f>
        <v xml:space="preserve"> </v>
      </c>
    </row>
    <row r="115" spans="1:22" ht="33.75" x14ac:dyDescent="0.25">
      <c r="A115" s="107" t="e">
        <f>AND(
VLOOKUP(Others_Expense05,Table_Expenses[],MATCH(Table_Expenses[[#Headers],[ReceiptRequired]],Table_Expenses[#Headers],0),FALSE),
OR(Others_Receipt05=0,Others_Receipt05="",Others_Receipt05=Dropdown_NotSelectedValue),
COUNTA(Others_Date05,Others_Expense05,Others_Desc05, Others_From05, Others_To05, Others_KM05)&gt;0)</f>
        <v>#N/A</v>
      </c>
      <c r="B115" s="107">
        <f ca="1">IFERROR(INDIRECT(Table_ErrorList[[#This Row],[Attention To Named Range]]),"Error")</f>
        <v>0</v>
      </c>
      <c r="C115" s="102">
        <v>1150</v>
      </c>
      <c r="D115" s="102" t="str">
        <f ca="1">IF(Table_ErrorList[[#This Row],[Manual Hierarchy]]="",CONCATENATE(TEXT(Table_ErrorList[[#This Row],[Section '#]],"00"),"-",TEXT(COUNTIF($E115:OFFSET(Table_ErrorList[[#Headers],[Section '#]],1,0,1,1),Table_ErrorList[[#This Row],[Section '#]]),"000")),Table_ErrorList[[#This Row],[Manual Hierarchy]])</f>
        <v>07-044</v>
      </c>
      <c r="E115" s="104">
        <v>7</v>
      </c>
      <c r="F115" s="104" t="str">
        <f>IFERROR(VLOOKUP(Table_ErrorList[[#This Row],[Section '#]],Table_SectionNames[],MATCH(Table_SectionNames[[#Headers],[Name]],Table_SectionNames[#Headers],0),FALSE),"Not found")</f>
        <v>Other Expenses</v>
      </c>
      <c r="G115" s="104"/>
      <c r="H115" s="107" t="str">
        <f>IFERROR(VLOOKUP(Table_ErrorList[[#This Row],[Attention To Named Range]],Table_NamedRanges[],MATCH(Table_NamedRanges[[#Headers],[Reference Type]],Table_NamedRanges[#Headers],0),FALSE),"Error")</f>
        <v>Single Cell</v>
      </c>
      <c r="I115" s="102" t="s">
        <v>668</v>
      </c>
      <c r="J115" s="107" t="str">
        <f>IF(Table_ErrorList[[#This Row],[Manual Reference]]="",Table_ErrorList[[#This Row],[''Attention To'' Refence]],Table_ErrorList[[#This Row],[Manual Reference]])&amp;","</f>
        <v>$X$31,</v>
      </c>
      <c r="K115" s="107" t="str">
        <f>SUBSTITUTE(SUBSTITUTE(VLOOKUP(Table_ErrorList[[#This Row],[Attention To Named Range]],Table_NamedRanges[],MATCH(Table_NamedRanges[[#Headers],[Reference Text]],Table_NamedRanges[#Headers],0),FALSE),"=",""),"'Travel Expense Summary'!","")</f>
        <v>$X$31</v>
      </c>
      <c r="L115" s="107"/>
      <c r="M115" s="85" t="s">
        <v>758</v>
      </c>
      <c r="N115" s="85" t="s">
        <v>763</v>
      </c>
      <c r="O115" s="85" t="b">
        <v>1</v>
      </c>
      <c r="P115" s="106" t="s">
        <v>1079</v>
      </c>
      <c r="Q115" s="106" t="s">
        <v>728</v>
      </c>
      <c r="R115"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15" s="85" t="b">
        <v>1</v>
      </c>
      <c r="T115" s="85" t="str">
        <f>IF(LEN(Table_ErrorList[[#This Row],[Message Bar Display]])&gt;$U$5,"Too Long, Characters = "&amp;LEN(Table_ErrorList[[#This Row],[Message Bar Display]])," ")</f>
        <v xml:space="preserve"> </v>
      </c>
      <c r="U115" s="85" t="str">
        <f>IF(LEN(Table_ErrorList[[#This Row],[Details Explanation (Line '#1)]])&gt;$U$5,"Too Long, Characters = "&amp;LEN(Table_ErrorList[[#This Row],[Details Explanation (Line '#1)]])," ")</f>
        <v xml:space="preserve"> </v>
      </c>
      <c r="V115" s="85" t="str">
        <f>IF(LEN(Table_ErrorList[[#This Row],[Details Explanation (Line '#2)]])&gt;$U$5,"Too Long, Characters = "&amp;LEN(Table_ErrorList[[#This Row],[Details Explanation (Line '#2)]])," ")</f>
        <v xml:space="preserve"> </v>
      </c>
    </row>
    <row r="116" spans="1:22" ht="45" x14ac:dyDescent="0.25">
      <c r="A116" s="107" t="e">
        <f>AND(
VLOOKUP(Others_Expense05,Table_Expenses[],MATCH(Table_Expenses[[#Headers],[KMRequired]],Table_Expenses[#Headers],0),FALSE),
OR(Others_KM05=0,Others_KM05="",Others_KM05=Dropdown_NotSelectedValue),
COUNTA(Others_Date05,Others_Expense05,Others_Desc05, Others_From05, Others_To05, Others_Receipt05)&gt;0)</f>
        <v>#N/A</v>
      </c>
      <c r="B116" s="107">
        <f ca="1">IFERROR(INDIRECT(Table_ErrorList[[#This Row],[Attention To Named Range]]),"Error")</f>
        <v>0</v>
      </c>
      <c r="C116" s="102">
        <v>1160</v>
      </c>
      <c r="D116" s="102" t="str">
        <f ca="1">IF(Table_ErrorList[[#This Row],[Manual Hierarchy]]="",CONCATENATE(TEXT(Table_ErrorList[[#This Row],[Section '#]],"00"),"-",TEXT(COUNTIF($E116:OFFSET(Table_ErrorList[[#Headers],[Section '#]],1,0,1,1),Table_ErrorList[[#This Row],[Section '#]]),"000")),Table_ErrorList[[#This Row],[Manual Hierarchy]])</f>
        <v>07-045</v>
      </c>
      <c r="E116" s="104">
        <v>7</v>
      </c>
      <c r="F116" s="104" t="str">
        <f>IFERROR(VLOOKUP(Table_ErrorList[[#This Row],[Section '#]],Table_SectionNames[],MATCH(Table_SectionNames[[#Headers],[Name]],Table_SectionNames[#Headers],0),FALSE),"Not found")</f>
        <v>Other Expenses</v>
      </c>
      <c r="G116" s="104"/>
      <c r="H116" s="107" t="str">
        <f>IFERROR(VLOOKUP(Table_ErrorList[[#This Row],[Attention To Named Range]],Table_NamedRanges[],MATCH(Table_NamedRanges[[#Headers],[Reference Type]],Table_NamedRanges[#Headers],0),FALSE),"Error")</f>
        <v>Single Cell</v>
      </c>
      <c r="I116" s="102" t="s">
        <v>646</v>
      </c>
      <c r="J116" s="107" t="str">
        <f>IF(Table_ErrorList[[#This Row],[Manual Reference]]="",Table_ErrorList[[#This Row],[''Attention To'' Refence]],Table_ErrorList[[#This Row],[Manual Reference]])&amp;","</f>
        <v>$Y$31,</v>
      </c>
      <c r="K116" s="107" t="str">
        <f>SUBSTITUTE(SUBSTITUTE(VLOOKUP(Table_ErrorList[[#This Row],[Attention To Named Range]],Table_NamedRanges[],MATCH(Table_NamedRanges[[#Headers],[Reference Text]],Table_NamedRanges[#Headers],0),FALSE),"=",""),"'Travel Expense Summary'!","")</f>
        <v>$Y$31</v>
      </c>
      <c r="L116" s="107"/>
      <c r="M116" s="85" t="s">
        <v>759</v>
      </c>
      <c r="N116" s="85" t="s">
        <v>764</v>
      </c>
      <c r="O116" s="85" t="b">
        <v>1</v>
      </c>
      <c r="P116" s="106" t="s">
        <v>892</v>
      </c>
      <c r="Q116" s="106" t="s">
        <v>893</v>
      </c>
      <c r="R116"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16" s="85" t="b">
        <v>1</v>
      </c>
      <c r="T116" s="85" t="str">
        <f>IF(LEN(Table_ErrorList[[#This Row],[Message Bar Display]])&gt;$U$5,"Too Long, Characters = "&amp;LEN(Table_ErrorList[[#This Row],[Message Bar Display]])," ")</f>
        <v xml:space="preserve"> </v>
      </c>
      <c r="U116" s="85" t="str">
        <f>IF(LEN(Table_ErrorList[[#This Row],[Details Explanation (Line '#1)]])&gt;$U$5,"Too Long, Characters = "&amp;LEN(Table_ErrorList[[#This Row],[Details Explanation (Line '#1)]])," ")</f>
        <v xml:space="preserve"> </v>
      </c>
      <c r="V116" s="85" t="str">
        <f>IF(LEN(Table_ErrorList[[#This Row],[Details Explanation (Line '#2)]])&gt;$U$5,"Too Long, Characters = "&amp;LEN(Table_ErrorList[[#This Row],[Details Explanation (Line '#2)]])," ")</f>
        <v xml:space="preserve"> </v>
      </c>
    </row>
    <row r="117" spans="1:22" ht="30" x14ac:dyDescent="0.25">
      <c r="A117" s="107" t="b">
        <f>AND(
OR(Others_Date06=0,Others_Date06="",Others_Date06=Dropdown_NotSelectedValue),
COUNTA(Others_Expense06,Others_Desc06, Others_From06, Others_To06, Others_Receipt06, Others_KM06)&gt;0)</f>
        <v>0</v>
      </c>
      <c r="B117" s="107">
        <f ca="1">IFERROR(INDIRECT(Table_ErrorList[[#This Row],[Attention To Named Range]]),"Error")</f>
        <v>0</v>
      </c>
      <c r="C117" s="102">
        <v>1200</v>
      </c>
      <c r="D117" s="102" t="str">
        <f ca="1">IF(Table_ErrorList[[#This Row],[Manual Hierarchy]]="",CONCATENATE(TEXT(Table_ErrorList[[#This Row],[Section '#]],"00"),"-",TEXT(COUNTIF($E117:OFFSET(Table_ErrorList[[#Headers],[Section '#]],1,0,1,1),Table_ErrorList[[#This Row],[Section '#]]),"000")),Table_ErrorList[[#This Row],[Manual Hierarchy]])</f>
        <v>07-046</v>
      </c>
      <c r="E117" s="104">
        <v>7</v>
      </c>
      <c r="F117" s="104" t="str">
        <f>IFERROR(VLOOKUP(Table_ErrorList[[#This Row],[Section '#]],Table_SectionNames[],MATCH(Table_SectionNames[[#Headers],[Name]],Table_SectionNames[#Headers],0),FALSE),"Not found")</f>
        <v>Other Expenses</v>
      </c>
      <c r="G117" s="104"/>
      <c r="H117" s="107" t="str">
        <f>IFERROR(VLOOKUP(Table_ErrorList[[#This Row],[Attention To Named Range]],Table_NamedRanges[],MATCH(Table_NamedRanges[[#Headers],[Reference Type]],Table_NamedRanges[#Headers],0),FALSE),"Error")</f>
        <v>Single Cell</v>
      </c>
      <c r="I117" s="102" t="s">
        <v>527</v>
      </c>
      <c r="J117" s="107" t="str">
        <f>IF(Table_ErrorList[[#This Row],[Manual Reference]]="",Table_ErrorList[[#This Row],[''Attention To'' Refence]],Table_ErrorList[[#This Row],[Manual Reference]])&amp;","</f>
        <v>$I$32,</v>
      </c>
      <c r="K117" s="107" t="str">
        <f>SUBSTITUTE(SUBSTITUTE(VLOOKUP(Table_ErrorList[[#This Row],[Attention To Named Range]],Table_NamedRanges[],MATCH(Table_NamedRanges[[#Headers],[Reference Text]],Table_NamedRanges[#Headers],0),FALSE),"=",""),"'Travel Expense Summary'!","")</f>
        <v>$I$32</v>
      </c>
      <c r="L117" s="107"/>
      <c r="M117" s="85" t="s">
        <v>765</v>
      </c>
      <c r="N117" s="85" t="s">
        <v>772</v>
      </c>
      <c r="O117" s="85" t="b">
        <v>1</v>
      </c>
      <c r="P117" s="106" t="s">
        <v>260</v>
      </c>
      <c r="Q117" s="106" t="s">
        <v>261</v>
      </c>
      <c r="R117"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17" s="85" t="b">
        <v>1</v>
      </c>
      <c r="T117" s="85" t="str">
        <f>IF(LEN(Table_ErrorList[[#This Row],[Message Bar Display]])&gt;$U$5,"Too Long, Characters = "&amp;LEN(Table_ErrorList[[#This Row],[Message Bar Display]])," ")</f>
        <v xml:space="preserve"> </v>
      </c>
      <c r="U117" s="85" t="str">
        <f>IF(LEN(Table_ErrorList[[#This Row],[Details Explanation (Line '#1)]])&gt;$U$5,"Too Long, Characters = "&amp;LEN(Table_ErrorList[[#This Row],[Details Explanation (Line '#1)]])," ")</f>
        <v xml:space="preserve"> </v>
      </c>
      <c r="V117" s="85" t="str">
        <f>IF(LEN(Table_ErrorList[[#This Row],[Details Explanation (Line '#2)]])&gt;$U$5,"Too Long, Characters = "&amp;LEN(Table_ErrorList[[#This Row],[Details Explanation (Line '#2)]])," ")</f>
        <v xml:space="preserve"> </v>
      </c>
    </row>
    <row r="118" spans="1:22" s="32" customFormat="1" ht="30" x14ac:dyDescent="0.25">
      <c r="A118" s="107" t="b">
        <f>IF(Others_Date06&gt;0,NOT(AND(Field15_TravelStartDate&lt;=Others_Date06,Field16_TravelEndDate&gt;=Others_Date06)),FALSE)</f>
        <v>0</v>
      </c>
      <c r="B118" s="107">
        <f ca="1">IFERROR(INDIRECT(Table_ErrorList[[#This Row],[Attention To Named Range]]),"Error")</f>
        <v>0</v>
      </c>
      <c r="C118" s="102">
        <v>1201</v>
      </c>
      <c r="D118" s="102" t="str">
        <f ca="1">IF(Table_ErrorList[[#This Row],[Manual Hierarchy]]="",CONCATENATE(TEXT(Table_ErrorList[[#This Row],[Section '#]],"00"),"-",TEXT(COUNTIF($E118:OFFSET(Table_ErrorList[[#Headers],[Section '#]],1,0,1,1),Table_ErrorList[[#This Row],[Section '#]]),"000")),Table_ErrorList[[#This Row],[Manual Hierarchy]])</f>
        <v>07-047</v>
      </c>
      <c r="E118" s="104">
        <v>7</v>
      </c>
      <c r="F118" s="104" t="str">
        <f>IFERROR(VLOOKUP(Table_ErrorList[[#This Row],[Section '#]],Table_SectionNames[],MATCH(Table_SectionNames[[#Headers],[Name]],Table_SectionNames[#Headers],0),FALSE),"Not found")</f>
        <v>Other Expenses</v>
      </c>
      <c r="G118" s="104"/>
      <c r="H118" s="107" t="str">
        <f>IFERROR(VLOOKUP(Table_ErrorList[[#This Row],[Attention To Named Range]],Table_NamedRanges[],MATCH(Table_NamedRanges[[#Headers],[Reference Type]],Table_NamedRanges[#Headers],0),FALSE),"Error")</f>
        <v>Single Cell</v>
      </c>
      <c r="I118" s="102" t="s">
        <v>527</v>
      </c>
      <c r="J118" s="107" t="str">
        <f>IF(Table_ErrorList[[#This Row],[Manual Reference]]="",Table_ErrorList[[#This Row],[''Attention To'' Refence]],Table_ErrorList[[#This Row],[Manual Reference]])&amp;","</f>
        <v>$I$32,</v>
      </c>
      <c r="K118" s="107" t="str">
        <f>SUBSTITUTE(SUBSTITUTE(VLOOKUP(Table_ErrorList[[#This Row],[Attention To Named Range]],Table_NamedRanges[],MATCH(Table_NamedRanges[[#Headers],[Reference Text]],Table_NamedRanges[#Headers],0),FALSE),"=",""),"'Travel Expense Summary'!","")</f>
        <v>$I$32</v>
      </c>
      <c r="L118" s="107"/>
      <c r="M118" s="85" t="s">
        <v>1221</v>
      </c>
      <c r="N118" s="85" t="s">
        <v>1227</v>
      </c>
      <c r="O118" s="85" t="b">
        <v>1</v>
      </c>
      <c r="P118" s="106" t="s">
        <v>1228</v>
      </c>
      <c r="Q118" s="106" t="s">
        <v>1229</v>
      </c>
      <c r="R118"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18" s="85"/>
      <c r="T118" s="107" t="str">
        <f>IF(LEN(Table_ErrorList[[#This Row],[Message Bar Display]])&gt;$U$5,"Too Long, Characters = "&amp;LEN(Table_ErrorList[[#This Row],[Message Bar Display]])," ")</f>
        <v xml:space="preserve"> </v>
      </c>
      <c r="U118" s="107" t="str">
        <f>IF(LEN(Table_ErrorList[[#This Row],[Details Explanation (Line '#1)]])&gt;$U$5,"Too Long, Characters = "&amp;LEN(Table_ErrorList[[#This Row],[Details Explanation (Line '#1)]])," ")</f>
        <v xml:space="preserve"> </v>
      </c>
      <c r="V118" s="107" t="str">
        <f>IF(LEN(Table_ErrorList[[#This Row],[Details Explanation (Line '#2)]])&gt;$U$5,"Too Long, Characters = "&amp;LEN(Table_ErrorList[[#This Row],[Details Explanation (Line '#2)]])," ")</f>
        <v xml:space="preserve"> </v>
      </c>
    </row>
    <row r="119" spans="1:22" ht="33.75" x14ac:dyDescent="0.25">
      <c r="A119" s="107" t="b">
        <f>AND(
OR(Others_Expense06=0,Others_Expense06="",Others_Expense06=Dropdown_NotSelectedValue),
COUNTA(Others_Date06,Others_Desc06, Others_From06, Others_To06, Others_Receipt06, Others_KM06)&gt;0)</f>
        <v>0</v>
      </c>
      <c r="B119" s="107">
        <f ca="1">IFERROR(INDIRECT(Table_ErrorList[[#This Row],[Attention To Named Range]]),"Error")</f>
        <v>0</v>
      </c>
      <c r="C119" s="102">
        <v>1210</v>
      </c>
      <c r="D119" s="102" t="str">
        <f ca="1">IF(Table_ErrorList[[#This Row],[Manual Hierarchy]]="",CONCATENATE(TEXT(Table_ErrorList[[#This Row],[Section '#]],"00"),"-",TEXT(COUNTIF($E119:OFFSET(Table_ErrorList[[#Headers],[Section '#]],1,0,1,1),Table_ErrorList[[#This Row],[Section '#]]),"000")),Table_ErrorList[[#This Row],[Manual Hierarchy]])</f>
        <v>07-048</v>
      </c>
      <c r="E119" s="104">
        <v>7</v>
      </c>
      <c r="F119" s="104" t="str">
        <f>IFERROR(VLOOKUP(Table_ErrorList[[#This Row],[Section '#]],Table_SectionNames[],MATCH(Table_SectionNames[[#Headers],[Name]],Table_SectionNames[#Headers],0),FALSE),"Not found")</f>
        <v>Other Expenses</v>
      </c>
      <c r="G119" s="104"/>
      <c r="H119" s="107" t="str">
        <f>IFERROR(VLOOKUP(Table_ErrorList[[#This Row],[Attention To Named Range]],Table_NamedRanges[],MATCH(Table_NamedRanges[[#Headers],[Reference Type]],Table_NamedRanges[#Headers],0),FALSE),"Error")</f>
        <v>Single Cell</v>
      </c>
      <c r="I119" s="102" t="s">
        <v>604</v>
      </c>
      <c r="J119" s="107" t="str">
        <f>IF(Table_ErrorList[[#This Row],[Manual Reference]]="",Table_ErrorList[[#This Row],[''Attention To'' Refence]],Table_ErrorList[[#This Row],[Manual Reference]])&amp;","</f>
        <v>$K$32,</v>
      </c>
      <c r="K119" s="107" t="str">
        <f>SUBSTITUTE(SUBSTITUTE(VLOOKUP(Table_ErrorList[[#This Row],[Attention To Named Range]],Table_NamedRanges[],MATCH(Table_NamedRanges[[#Headers],[Reference Text]],Table_NamedRanges[#Headers],0),FALSE),"=",""),"'Travel Expense Summary'!","")</f>
        <v>$K$32</v>
      </c>
      <c r="L119" s="107"/>
      <c r="M119" s="85" t="s">
        <v>766</v>
      </c>
      <c r="N119" s="85" t="s">
        <v>773</v>
      </c>
      <c r="O119" s="85" t="b">
        <v>1</v>
      </c>
      <c r="P119" s="106" t="s">
        <v>705</v>
      </c>
      <c r="Q119" s="106" t="s">
        <v>708</v>
      </c>
      <c r="R119"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9" s="85" t="b">
        <v>1</v>
      </c>
      <c r="T119" s="85" t="str">
        <f>IF(LEN(Table_ErrorList[[#This Row],[Message Bar Display]])&gt;$U$5,"Too Long, Characters = "&amp;LEN(Table_ErrorList[[#This Row],[Message Bar Display]])," ")</f>
        <v xml:space="preserve"> </v>
      </c>
      <c r="U119" s="85" t="str">
        <f>IF(LEN(Table_ErrorList[[#This Row],[Details Explanation (Line '#1)]])&gt;$U$5,"Too Long, Characters = "&amp;LEN(Table_ErrorList[[#This Row],[Details Explanation (Line '#1)]])," ")</f>
        <v xml:space="preserve"> </v>
      </c>
      <c r="V119" s="85" t="str">
        <f>IF(LEN(Table_ErrorList[[#This Row],[Details Explanation (Line '#2)]])&gt;$U$5,"Too Long, Characters = "&amp;LEN(Table_ErrorList[[#This Row],[Details Explanation (Line '#2)]])," ")</f>
        <v xml:space="preserve"> </v>
      </c>
    </row>
    <row r="120" spans="1:22" s="32" customFormat="1" ht="30" x14ac:dyDescent="0.25">
      <c r="A120" s="107" t="b">
        <f>IF(AND(ISBLANK(Others_Expense06)=FALSE,Others_Expense06&lt;&gt;Dropdown_NotSelectedValue),IFERROR(NOT(MATCH(Others_Expense06,Dropdown_Expenses,0)&gt;0),TRUE),FALSE)</f>
        <v>0</v>
      </c>
      <c r="B120" s="107">
        <f ca="1">IFERROR(INDIRECT(Table_ErrorList[[#This Row],[Attention To Named Range]]),"Error")</f>
        <v>0</v>
      </c>
      <c r="C120" s="102">
        <v>1211</v>
      </c>
      <c r="D120" s="102" t="str">
        <f ca="1">IF(Table_ErrorList[[#This Row],[Manual Hierarchy]]="",CONCATENATE(TEXT(Table_ErrorList[[#This Row],[Section '#]],"00"),"-",TEXT(COUNTIF($E120:OFFSET(Table_ErrorList[[#Headers],[Section '#]],1,0,1,1),Table_ErrorList[[#This Row],[Section '#]]),"000")),Table_ErrorList[[#This Row],[Manual Hierarchy]])</f>
        <v>07-049</v>
      </c>
      <c r="E120" s="104">
        <v>7</v>
      </c>
      <c r="F120" s="104" t="str">
        <f>IFERROR(VLOOKUP(Table_ErrorList[[#This Row],[Section '#]],Table_SectionNames[],MATCH(Table_SectionNames[[#Headers],[Name]],Table_SectionNames[#Headers],0),FALSE),"Not found")</f>
        <v>Other Expenses</v>
      </c>
      <c r="G120" s="104"/>
      <c r="H120" s="107" t="str">
        <f>IFERROR(VLOOKUP(Table_ErrorList[[#This Row],[Attention To Named Range]],Table_NamedRanges[],MATCH(Table_NamedRanges[[#Headers],[Reference Type]],Table_NamedRanges[#Headers],0),FALSE),"Error")</f>
        <v>Single Cell</v>
      </c>
      <c r="I120" s="102" t="s">
        <v>604</v>
      </c>
      <c r="J120" s="107" t="str">
        <f>IF(Table_ErrorList[[#This Row],[Manual Reference]]="",Table_ErrorList[[#This Row],[''Attention To'' Refence]],Table_ErrorList[[#This Row],[Manual Reference]])&amp;","</f>
        <v>$K$32,</v>
      </c>
      <c r="K120" s="107" t="str">
        <f>SUBSTITUTE(SUBSTITUTE(VLOOKUP(Table_ErrorList[[#This Row],[Attention To Named Range]],Table_NamedRanges[],MATCH(Table_NamedRanges[[#Headers],[Reference Text]],Table_NamedRanges[#Headers],0),FALSE),"=",""),"'Travel Expense Summary'!","")</f>
        <v>$K$32</v>
      </c>
      <c r="L120" s="107"/>
      <c r="M120" s="85" t="s">
        <v>1238</v>
      </c>
      <c r="N120" s="85" t="s">
        <v>1240</v>
      </c>
      <c r="O120" s="85" t="b">
        <v>1</v>
      </c>
      <c r="P120" s="106" t="s">
        <v>1241</v>
      </c>
      <c r="Q120" s="106" t="s">
        <v>1232</v>
      </c>
      <c r="R120"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0" s="85" t="b">
        <v>1</v>
      </c>
      <c r="T120" s="107" t="str">
        <f>IF(LEN(Table_ErrorList[[#This Row],[Message Bar Display]])&gt;$U$5,"Too Long, Characters = "&amp;LEN(Table_ErrorList[[#This Row],[Message Bar Display]])," ")</f>
        <v xml:space="preserve"> </v>
      </c>
      <c r="U120" s="107" t="str">
        <f>IF(LEN(Table_ErrorList[[#This Row],[Details Explanation (Line '#1)]])&gt;$U$5,"Too Long, Characters = "&amp;LEN(Table_ErrorList[[#This Row],[Details Explanation (Line '#1)]])," ")</f>
        <v xml:space="preserve"> </v>
      </c>
      <c r="V120" s="107" t="str">
        <f>IF(LEN(Table_ErrorList[[#This Row],[Details Explanation (Line '#2)]])&gt;$U$5,"Too Long, Characters = "&amp;LEN(Table_ErrorList[[#This Row],[Details Explanation (Line '#2)]])," ")</f>
        <v xml:space="preserve"> </v>
      </c>
    </row>
    <row r="121" spans="1:22" ht="30" x14ac:dyDescent="0.25">
      <c r="A121" s="107" t="e">
        <f>AND(
VLOOKUP(Others_Expense06,Table_Expenses[],MATCH(Table_Expenses[[#Headers],[DescriptionRequired]],Table_Expenses[#Headers],0),FALSE),
OR(Others_Desc06=0,Others_Desc06="",Others_Desc06=Dropdown_NotSelectedValue),
COUNTA(Others_Date06,Others_Expense06,, Others_From06, Others_To06, Others_Receipt06, Others_KM06)&gt;0)</f>
        <v>#N/A</v>
      </c>
      <c r="B121" s="107">
        <f ca="1">IFERROR(INDIRECT(Table_ErrorList[[#This Row],[Attention To Named Range]]),"Error")</f>
        <v>0</v>
      </c>
      <c r="C121" s="102">
        <v>1220</v>
      </c>
      <c r="D121" s="102" t="str">
        <f ca="1">IF(Table_ErrorList[[#This Row],[Manual Hierarchy]]="",CONCATENATE(TEXT(Table_ErrorList[[#This Row],[Section '#]],"00"),"-",TEXT(COUNTIF($E121:OFFSET(Table_ErrorList[[#Headers],[Section '#]],1,0,1,1),Table_ErrorList[[#This Row],[Section '#]]),"000")),Table_ErrorList[[#This Row],[Manual Hierarchy]])</f>
        <v>07-050</v>
      </c>
      <c r="E121" s="104">
        <v>7</v>
      </c>
      <c r="F121" s="104" t="str">
        <f>IFERROR(VLOOKUP(Table_ErrorList[[#This Row],[Section '#]],Table_SectionNames[],MATCH(Table_SectionNames[[#Headers],[Name]],Table_SectionNames[#Headers],0),FALSE),"Not found")</f>
        <v>Other Expenses</v>
      </c>
      <c r="G121" s="104"/>
      <c r="H121" s="107" t="str">
        <f>IFERROR(VLOOKUP(Table_ErrorList[[#This Row],[Attention To Named Range]],Table_NamedRanges[],MATCH(Table_NamedRanges[[#Headers],[Reference Type]],Table_NamedRanges[#Headers],0),FALSE),"Error")</f>
        <v>Single Cell</v>
      </c>
      <c r="I121" s="102" t="s">
        <v>583</v>
      </c>
      <c r="J121" s="107" t="str">
        <f>IF(Table_ErrorList[[#This Row],[Manual Reference]]="",Table_ErrorList[[#This Row],[''Attention To'' Refence]],Table_ErrorList[[#This Row],[Manual Reference]])&amp;","</f>
        <v>$M$32,</v>
      </c>
      <c r="K121" s="107" t="str">
        <f>SUBSTITUTE(SUBSTITUTE(VLOOKUP(Table_ErrorList[[#This Row],[Attention To Named Range]],Table_NamedRanges[],MATCH(Table_NamedRanges[[#Headers],[Reference Text]],Table_NamedRanges[#Headers],0),FALSE),"=",""),"'Travel Expense Summary'!","")</f>
        <v>$M$32</v>
      </c>
      <c r="L121" s="107"/>
      <c r="M121" s="85" t="s">
        <v>767</v>
      </c>
      <c r="N121" s="85" t="s">
        <v>774</v>
      </c>
      <c r="O121" s="85" t="b">
        <v>1</v>
      </c>
      <c r="P121" s="106" t="s">
        <v>894</v>
      </c>
      <c r="Q121" s="106" t="s">
        <v>979</v>
      </c>
      <c r="R121"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21" s="85" t="b">
        <v>1</v>
      </c>
      <c r="T121" s="85" t="str">
        <f>IF(LEN(Table_ErrorList[[#This Row],[Message Bar Display]])&gt;$U$5,"Too Long, Characters = "&amp;LEN(Table_ErrorList[[#This Row],[Message Bar Display]])," ")</f>
        <v xml:space="preserve"> </v>
      </c>
      <c r="U121" s="85" t="str">
        <f>IF(LEN(Table_ErrorList[[#This Row],[Details Explanation (Line '#1)]])&gt;$U$5,"Too Long, Characters = "&amp;LEN(Table_ErrorList[[#This Row],[Details Explanation (Line '#1)]])," ")</f>
        <v xml:space="preserve"> </v>
      </c>
      <c r="V121" s="85" t="str">
        <f>IF(LEN(Table_ErrorList[[#This Row],[Details Explanation (Line '#2)]])&gt;$U$5,"Too Long, Characters = "&amp;LEN(Table_ErrorList[[#This Row],[Details Explanation (Line '#2)]])," ")</f>
        <v xml:space="preserve"> </v>
      </c>
    </row>
    <row r="122" spans="1:22" ht="30" x14ac:dyDescent="0.25">
      <c r="A122" s="107" t="e">
        <f>AND(
VLOOKUP(Others_Expense06,Table_Expenses[],MATCH(Table_Expenses[[#Headers],[FromRequired]],Table_Expenses[#Headers],0),FALSE),
OR(Others_From06=0,Others_From06="",Others_From06=Dropdown_NotSelectedValue),
COUNTA(Others_Date06,Others_Expense06,Others_Desc06, Others_To06, Others_Receipt06, Others_KM06)&gt;0)</f>
        <v>#N/A</v>
      </c>
      <c r="B122" s="107">
        <f ca="1">IFERROR(INDIRECT(Table_ErrorList[[#This Row],[Attention To Named Range]]),"Error")</f>
        <v>0</v>
      </c>
      <c r="C122" s="102">
        <v>1230</v>
      </c>
      <c r="D122" s="102" t="str">
        <f ca="1">IF(Table_ErrorList[[#This Row],[Manual Hierarchy]]="",CONCATENATE(TEXT(Table_ErrorList[[#This Row],[Section '#]],"00"),"-",TEXT(COUNTIF($E122:OFFSET(Table_ErrorList[[#Headers],[Section '#]],1,0,1,1),Table_ErrorList[[#This Row],[Section '#]]),"000")),Table_ErrorList[[#This Row],[Manual Hierarchy]])</f>
        <v>07-051</v>
      </c>
      <c r="E122" s="104">
        <v>7</v>
      </c>
      <c r="F122" s="104" t="str">
        <f>IFERROR(VLOOKUP(Table_ErrorList[[#This Row],[Section '#]],Table_SectionNames[],MATCH(Table_SectionNames[[#Headers],[Name]],Table_SectionNames[#Headers],0),FALSE),"Not found")</f>
        <v>Other Expenses</v>
      </c>
      <c r="G122" s="104"/>
      <c r="H122" s="107" t="str">
        <f>IFERROR(VLOOKUP(Table_ErrorList[[#This Row],[Attention To Named Range]],Table_NamedRanges[],MATCH(Table_NamedRanges[[#Headers],[Reference Type]],Table_NamedRanges[#Headers],0),FALSE),"Error")</f>
        <v>Single Cell</v>
      </c>
      <c r="I122" s="102" t="s">
        <v>626</v>
      </c>
      <c r="J122" s="107" t="str">
        <f>IF(Table_ErrorList[[#This Row],[Manual Reference]]="",Table_ErrorList[[#This Row],[''Attention To'' Refence]],Table_ErrorList[[#This Row],[Manual Reference]])&amp;","</f>
        <v>$R$32,</v>
      </c>
      <c r="K122" s="107" t="str">
        <f>SUBSTITUTE(SUBSTITUTE(VLOOKUP(Table_ErrorList[[#This Row],[Attention To Named Range]],Table_NamedRanges[],MATCH(Table_NamedRanges[[#Headers],[Reference Text]],Table_NamedRanges[#Headers],0),FALSE),"=",""),"'Travel Expense Summary'!","")</f>
        <v>$R$32</v>
      </c>
      <c r="L122" s="107"/>
      <c r="M122" s="85" t="s">
        <v>768</v>
      </c>
      <c r="N122" s="85" t="s">
        <v>989</v>
      </c>
      <c r="O122" s="85" t="b">
        <v>1</v>
      </c>
      <c r="P122" s="106" t="s">
        <v>980</v>
      </c>
      <c r="Q122" s="106" t="s">
        <v>981</v>
      </c>
      <c r="R122"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22" s="85" t="b">
        <v>1</v>
      </c>
      <c r="T122" s="85" t="str">
        <f>IF(LEN(Table_ErrorList[[#This Row],[Message Bar Display]])&gt;$U$5,"Too Long, Characters = "&amp;LEN(Table_ErrorList[[#This Row],[Message Bar Display]])," ")</f>
        <v xml:space="preserve"> </v>
      </c>
      <c r="U122" s="85" t="str">
        <f>IF(LEN(Table_ErrorList[[#This Row],[Details Explanation (Line '#1)]])&gt;$U$5,"Too Long, Characters = "&amp;LEN(Table_ErrorList[[#This Row],[Details Explanation (Line '#1)]])," ")</f>
        <v xml:space="preserve"> </v>
      </c>
      <c r="V122" s="85" t="str">
        <f>IF(LEN(Table_ErrorList[[#This Row],[Details Explanation (Line '#2)]])&gt;$U$5,"Too Long, Characters = "&amp;LEN(Table_ErrorList[[#This Row],[Details Explanation (Line '#2)]])," ")</f>
        <v xml:space="preserve"> </v>
      </c>
    </row>
    <row r="123" spans="1:22" ht="30" x14ac:dyDescent="0.25">
      <c r="A123" s="107" t="e">
        <f>AND(
VLOOKUP(Others_Expense06,Table_Expenses[],MATCH(Table_Expenses[[#Headers],[ToRequired]],Table_Expenses[#Headers],0),FALSE),
OR(Others_To06=0,Others_To06="",Others_To06=Dropdown_NotSelectedValue),
COUNTA(Others_Date06,Others_Expense06,Others_Desc06, Others_From06, Others_Receipt06, Others_KM06)&gt;0)</f>
        <v>#N/A</v>
      </c>
      <c r="B123" s="107">
        <f ca="1">IFERROR(INDIRECT(Table_ErrorList[[#This Row],[Attention To Named Range]]),"Error")</f>
        <v>0</v>
      </c>
      <c r="C123" s="102">
        <v>1240</v>
      </c>
      <c r="D123" s="102" t="str">
        <f ca="1">IF(Table_ErrorList[[#This Row],[Manual Hierarchy]]="",CONCATENATE(TEXT(Table_ErrorList[[#This Row],[Section '#]],"00"),"-",TEXT(COUNTIF($E123:OFFSET(Table_ErrorList[[#Headers],[Section '#]],1,0,1,1),Table_ErrorList[[#This Row],[Section '#]]),"000")),Table_ErrorList[[#This Row],[Manual Hierarchy]])</f>
        <v>07-052</v>
      </c>
      <c r="E123" s="104">
        <v>7</v>
      </c>
      <c r="F123" s="104" t="str">
        <f>IFERROR(VLOOKUP(Table_ErrorList[[#This Row],[Section '#]],Table_SectionNames[],MATCH(Table_SectionNames[[#Headers],[Name]],Table_SectionNames[#Headers],0),FALSE),"Not found")</f>
        <v>Other Expenses</v>
      </c>
      <c r="G123" s="104"/>
      <c r="H123" s="107" t="str">
        <f>IFERROR(VLOOKUP(Table_ErrorList[[#This Row],[Attention To Named Range]],Table_NamedRanges[],MATCH(Table_NamedRanges[[#Headers],[Reference Type]],Table_NamedRanges[#Headers],0),FALSE),"Error")</f>
        <v>Single Cell</v>
      </c>
      <c r="I123" s="102" t="s">
        <v>692</v>
      </c>
      <c r="J123" s="107" t="str">
        <f>IF(Table_ErrorList[[#This Row],[Manual Reference]]="",Table_ErrorList[[#This Row],[''Attention To'' Refence]],Table_ErrorList[[#This Row],[Manual Reference]])&amp;","</f>
        <v>$T$32,</v>
      </c>
      <c r="K123" s="107" t="str">
        <f>SUBSTITUTE(SUBSTITUTE(VLOOKUP(Table_ErrorList[[#This Row],[Attention To Named Range]],Table_NamedRanges[],MATCH(Table_NamedRanges[[#Headers],[Reference Text]],Table_NamedRanges[#Headers],0),FALSE),"=",""),"'Travel Expense Summary'!","")</f>
        <v>$T$32</v>
      </c>
      <c r="L123" s="107"/>
      <c r="M123" s="85" t="s">
        <v>769</v>
      </c>
      <c r="N123" s="85" t="s">
        <v>999</v>
      </c>
      <c r="O123" s="85" t="b">
        <v>1</v>
      </c>
      <c r="P123" s="106" t="s">
        <v>983</v>
      </c>
      <c r="Q123" s="106" t="s">
        <v>981</v>
      </c>
      <c r="R123"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23" s="85" t="b">
        <v>1</v>
      </c>
      <c r="T123" s="85" t="str">
        <f>IF(LEN(Table_ErrorList[[#This Row],[Message Bar Display]])&gt;$U$5,"Too Long, Characters = "&amp;LEN(Table_ErrorList[[#This Row],[Message Bar Display]])," ")</f>
        <v xml:space="preserve"> </v>
      </c>
      <c r="U123" s="85" t="str">
        <f>IF(LEN(Table_ErrorList[[#This Row],[Details Explanation (Line '#1)]])&gt;$U$5,"Too Long, Characters = "&amp;LEN(Table_ErrorList[[#This Row],[Details Explanation (Line '#1)]])," ")</f>
        <v xml:space="preserve"> </v>
      </c>
      <c r="V123" s="85" t="str">
        <f>IF(LEN(Table_ErrorList[[#This Row],[Details Explanation (Line '#2)]])&gt;$U$5,"Too Long, Characters = "&amp;LEN(Table_ErrorList[[#This Row],[Details Explanation (Line '#2)]])," ")</f>
        <v xml:space="preserve"> </v>
      </c>
    </row>
    <row r="124" spans="1:22" ht="33.75" x14ac:dyDescent="0.25">
      <c r="A124" s="107" t="e">
        <f>AND(
VLOOKUP(Others_Expense06,Table_Expenses[],MATCH(Table_Expenses[[#Headers],[ReceiptRequired]],Table_Expenses[#Headers],0),FALSE),
OR(Others_Receipt06=0,Others_Receipt06="",Others_Receipt06=Dropdown_NotSelectedValue),
COUNTA(Others_Date06,Others_Expense06,Others_Desc06, Others_From06, Others_To06, Others_KM06)&gt;0)</f>
        <v>#N/A</v>
      </c>
      <c r="B124" s="107">
        <f ca="1">IFERROR(INDIRECT(Table_ErrorList[[#This Row],[Attention To Named Range]]),"Error")</f>
        <v>0</v>
      </c>
      <c r="C124" s="102">
        <v>1250</v>
      </c>
      <c r="D124" s="102" t="str">
        <f ca="1">IF(Table_ErrorList[[#This Row],[Manual Hierarchy]]="",CONCATENATE(TEXT(Table_ErrorList[[#This Row],[Section '#]],"00"),"-",TEXT(COUNTIF($E124:OFFSET(Table_ErrorList[[#Headers],[Section '#]],1,0,1,1),Table_ErrorList[[#This Row],[Section '#]]),"000")),Table_ErrorList[[#This Row],[Manual Hierarchy]])</f>
        <v>07-053</v>
      </c>
      <c r="E124" s="104">
        <v>7</v>
      </c>
      <c r="F124" s="104" t="str">
        <f>IFERROR(VLOOKUP(Table_ErrorList[[#This Row],[Section '#]],Table_SectionNames[],MATCH(Table_SectionNames[[#Headers],[Name]],Table_SectionNames[#Headers],0),FALSE),"Not found")</f>
        <v>Other Expenses</v>
      </c>
      <c r="G124" s="104"/>
      <c r="H124" s="107" t="str">
        <f>IFERROR(VLOOKUP(Table_ErrorList[[#This Row],[Attention To Named Range]],Table_NamedRanges[],MATCH(Table_NamedRanges[[#Headers],[Reference Type]],Table_NamedRanges[#Headers],0),FALSE),"Error")</f>
        <v>Single Cell</v>
      </c>
      <c r="I124" s="102" t="s">
        <v>670</v>
      </c>
      <c r="J124" s="107" t="str">
        <f>IF(Table_ErrorList[[#This Row],[Manual Reference]]="",Table_ErrorList[[#This Row],[''Attention To'' Refence]],Table_ErrorList[[#This Row],[Manual Reference]])&amp;","</f>
        <v>$X$32,</v>
      </c>
      <c r="K124" s="107" t="str">
        <f>SUBSTITUTE(SUBSTITUTE(VLOOKUP(Table_ErrorList[[#This Row],[Attention To Named Range]],Table_NamedRanges[],MATCH(Table_NamedRanges[[#Headers],[Reference Text]],Table_NamedRanges[#Headers],0),FALSE),"=",""),"'Travel Expense Summary'!","")</f>
        <v>$X$32</v>
      </c>
      <c r="L124" s="107"/>
      <c r="M124" s="85" t="s">
        <v>770</v>
      </c>
      <c r="N124" s="85" t="s">
        <v>775</v>
      </c>
      <c r="O124" s="85" t="b">
        <v>1</v>
      </c>
      <c r="P124" s="106" t="s">
        <v>1079</v>
      </c>
      <c r="Q124" s="106" t="s">
        <v>728</v>
      </c>
      <c r="R124"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24" s="85" t="b">
        <v>1</v>
      </c>
      <c r="T124" s="85" t="str">
        <f>IF(LEN(Table_ErrorList[[#This Row],[Message Bar Display]])&gt;$U$5,"Too Long, Characters = "&amp;LEN(Table_ErrorList[[#This Row],[Message Bar Display]])," ")</f>
        <v xml:space="preserve"> </v>
      </c>
      <c r="U124" s="85" t="str">
        <f>IF(LEN(Table_ErrorList[[#This Row],[Details Explanation (Line '#1)]])&gt;$U$5,"Too Long, Characters = "&amp;LEN(Table_ErrorList[[#This Row],[Details Explanation (Line '#1)]])," ")</f>
        <v xml:space="preserve"> </v>
      </c>
      <c r="V124" s="85" t="str">
        <f>IF(LEN(Table_ErrorList[[#This Row],[Details Explanation (Line '#2)]])&gt;$U$5,"Too Long, Characters = "&amp;LEN(Table_ErrorList[[#This Row],[Details Explanation (Line '#2)]])," ")</f>
        <v xml:space="preserve"> </v>
      </c>
    </row>
    <row r="125" spans="1:22" ht="45" x14ac:dyDescent="0.25">
      <c r="A125" s="107" t="e">
        <f>AND(
VLOOKUP(Others_Expense06,Table_Expenses[],MATCH(Table_Expenses[[#Headers],[KMRequired]],Table_Expenses[#Headers],0),FALSE),
OR(Others_KM06=0,Others_KM06="",Others_KM06=Dropdown_NotSelectedValue),
COUNTA(Others_Date06,Others_Expense06,Others_Desc06, Others_From06, Others_To06, Others_Receipt06)&gt;0)</f>
        <v>#N/A</v>
      </c>
      <c r="B125" s="107">
        <f ca="1">IFERROR(INDIRECT(Table_ErrorList[[#This Row],[Attention To Named Range]]),"Error")</f>
        <v>0</v>
      </c>
      <c r="C125" s="102">
        <v>1260</v>
      </c>
      <c r="D125" s="102" t="str">
        <f ca="1">IF(Table_ErrorList[[#This Row],[Manual Hierarchy]]="",CONCATENATE(TEXT(Table_ErrorList[[#This Row],[Section '#]],"00"),"-",TEXT(COUNTIF($E125:OFFSET(Table_ErrorList[[#Headers],[Section '#]],1,0,1,1),Table_ErrorList[[#This Row],[Section '#]]),"000")),Table_ErrorList[[#This Row],[Manual Hierarchy]])</f>
        <v>07-054</v>
      </c>
      <c r="E125" s="104">
        <v>7</v>
      </c>
      <c r="F125" s="104" t="str">
        <f>IFERROR(VLOOKUP(Table_ErrorList[[#This Row],[Section '#]],Table_SectionNames[],MATCH(Table_SectionNames[[#Headers],[Name]],Table_SectionNames[#Headers],0),FALSE),"Not found")</f>
        <v>Other Expenses</v>
      </c>
      <c r="G125" s="104"/>
      <c r="H125" s="107" t="str">
        <f>IFERROR(VLOOKUP(Table_ErrorList[[#This Row],[Attention To Named Range]],Table_NamedRanges[],MATCH(Table_NamedRanges[[#Headers],[Reference Type]],Table_NamedRanges[#Headers],0),FALSE),"Error")</f>
        <v>Single Cell</v>
      </c>
      <c r="I125" s="102" t="s">
        <v>648</v>
      </c>
      <c r="J125" s="107" t="str">
        <f>IF(Table_ErrorList[[#This Row],[Manual Reference]]="",Table_ErrorList[[#This Row],[''Attention To'' Refence]],Table_ErrorList[[#This Row],[Manual Reference]])&amp;","</f>
        <v>$Y$32,</v>
      </c>
      <c r="K125" s="107" t="str">
        <f>SUBSTITUTE(SUBSTITUTE(VLOOKUP(Table_ErrorList[[#This Row],[Attention To Named Range]],Table_NamedRanges[],MATCH(Table_NamedRanges[[#Headers],[Reference Text]],Table_NamedRanges[#Headers],0),FALSE),"=",""),"'Travel Expense Summary'!","")</f>
        <v>$Y$32</v>
      </c>
      <c r="L125" s="107"/>
      <c r="M125" s="85" t="s">
        <v>771</v>
      </c>
      <c r="N125" s="85" t="s">
        <v>776</v>
      </c>
      <c r="O125" s="85" t="b">
        <v>1</v>
      </c>
      <c r="P125" s="106" t="s">
        <v>892</v>
      </c>
      <c r="Q125" s="106" t="s">
        <v>893</v>
      </c>
      <c r="R125"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25" s="85" t="b">
        <v>1</v>
      </c>
      <c r="T125" s="85" t="str">
        <f>IF(LEN(Table_ErrorList[[#This Row],[Message Bar Display]])&gt;$U$5,"Too Long, Characters = "&amp;LEN(Table_ErrorList[[#This Row],[Message Bar Display]])," ")</f>
        <v xml:space="preserve"> </v>
      </c>
      <c r="U125" s="85" t="str">
        <f>IF(LEN(Table_ErrorList[[#This Row],[Details Explanation (Line '#1)]])&gt;$U$5,"Too Long, Characters = "&amp;LEN(Table_ErrorList[[#This Row],[Details Explanation (Line '#1)]])," ")</f>
        <v xml:space="preserve"> </v>
      </c>
      <c r="V125" s="85" t="str">
        <f>IF(LEN(Table_ErrorList[[#This Row],[Details Explanation (Line '#2)]])&gt;$U$5,"Too Long, Characters = "&amp;LEN(Table_ErrorList[[#This Row],[Details Explanation (Line '#2)]])," ")</f>
        <v xml:space="preserve"> </v>
      </c>
    </row>
    <row r="126" spans="1:22" ht="30" x14ac:dyDescent="0.25">
      <c r="A126" s="107" t="b">
        <f>AND(
OR(Others_Date07=0,Others_Date07="",Others_Date07=Dropdown_NotSelectedValue),
COUNTA(Others_Expense07,Others_Desc07, Others_From07, Others_To07, Others_Receipt07, Others_KM07)&gt;0)</f>
        <v>0</v>
      </c>
      <c r="B126" s="107">
        <f ca="1">IFERROR(INDIRECT(Table_ErrorList[[#This Row],[Attention To Named Range]]),"Error")</f>
        <v>0</v>
      </c>
      <c r="C126" s="102">
        <v>1300</v>
      </c>
      <c r="D126" s="102" t="str">
        <f ca="1">IF(Table_ErrorList[[#This Row],[Manual Hierarchy]]="",CONCATENATE(TEXT(Table_ErrorList[[#This Row],[Section '#]],"00"),"-",TEXT(COUNTIF($E126:OFFSET(Table_ErrorList[[#Headers],[Section '#]],1,0,1,1),Table_ErrorList[[#This Row],[Section '#]]),"000")),Table_ErrorList[[#This Row],[Manual Hierarchy]])</f>
        <v>07-055</v>
      </c>
      <c r="E126" s="104">
        <v>7</v>
      </c>
      <c r="F126" s="104" t="str">
        <f>IFERROR(VLOOKUP(Table_ErrorList[[#This Row],[Section '#]],Table_SectionNames[],MATCH(Table_SectionNames[[#Headers],[Name]],Table_SectionNames[#Headers],0),FALSE),"Not found")</f>
        <v>Other Expenses</v>
      </c>
      <c r="G126" s="104"/>
      <c r="H126" s="107" t="str">
        <f>IFERROR(VLOOKUP(Table_ErrorList[[#This Row],[Attention To Named Range]],Table_NamedRanges[],MATCH(Table_NamedRanges[[#Headers],[Reference Type]],Table_NamedRanges[#Headers],0),FALSE),"Error")</f>
        <v>Single Cell</v>
      </c>
      <c r="I126" s="102" t="s">
        <v>529</v>
      </c>
      <c r="J126" s="107" t="str">
        <f>IF(Table_ErrorList[[#This Row],[Manual Reference]]="",Table_ErrorList[[#This Row],[''Attention To'' Refence]],Table_ErrorList[[#This Row],[Manual Reference]])&amp;","</f>
        <v>$I$33,</v>
      </c>
      <c r="K126" s="107" t="str">
        <f>SUBSTITUTE(SUBSTITUTE(VLOOKUP(Table_ErrorList[[#This Row],[Attention To Named Range]],Table_NamedRanges[],MATCH(Table_NamedRanges[[#Headers],[Reference Text]],Table_NamedRanges[#Headers],0),FALSE),"=",""),"'Travel Expense Summary'!","")</f>
        <v>$I$33</v>
      </c>
      <c r="L126" s="107"/>
      <c r="M126" s="85" t="s">
        <v>777</v>
      </c>
      <c r="N126" s="85" t="s">
        <v>791</v>
      </c>
      <c r="O126" s="85" t="b">
        <v>1</v>
      </c>
      <c r="P126" s="106" t="s">
        <v>260</v>
      </c>
      <c r="Q126" s="106" t="s">
        <v>261</v>
      </c>
      <c r="R126"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26" s="85" t="b">
        <v>1</v>
      </c>
      <c r="T126" s="85" t="str">
        <f>IF(LEN(Table_ErrorList[[#This Row],[Message Bar Display]])&gt;$U$5,"Too Long, Characters = "&amp;LEN(Table_ErrorList[[#This Row],[Message Bar Display]])," ")</f>
        <v xml:space="preserve"> </v>
      </c>
      <c r="U126" s="85" t="str">
        <f>IF(LEN(Table_ErrorList[[#This Row],[Details Explanation (Line '#1)]])&gt;$U$5,"Too Long, Characters = "&amp;LEN(Table_ErrorList[[#This Row],[Details Explanation (Line '#1)]])," ")</f>
        <v xml:space="preserve"> </v>
      </c>
      <c r="V126" s="85" t="str">
        <f>IF(LEN(Table_ErrorList[[#This Row],[Details Explanation (Line '#2)]])&gt;$U$5,"Too Long, Characters = "&amp;LEN(Table_ErrorList[[#This Row],[Details Explanation (Line '#2)]])," ")</f>
        <v xml:space="preserve"> </v>
      </c>
    </row>
    <row r="127" spans="1:22" s="32" customFormat="1" ht="30" x14ac:dyDescent="0.25">
      <c r="A127" s="107" t="b">
        <f>IF(Others_Date07&gt;0,NOT(AND(Field15_TravelStartDate&lt;=Others_Date07,Field16_TravelEndDate&gt;=Others_Date07)),FALSE)</f>
        <v>0</v>
      </c>
      <c r="B127" s="107">
        <f ca="1">IFERROR(INDIRECT(Table_ErrorList[[#This Row],[Attention To Named Range]]),"Error")</f>
        <v>0</v>
      </c>
      <c r="C127" s="102">
        <v>1301</v>
      </c>
      <c r="D127" s="102" t="str">
        <f ca="1">IF(Table_ErrorList[[#This Row],[Manual Hierarchy]]="",CONCATENATE(TEXT(Table_ErrorList[[#This Row],[Section '#]],"00"),"-",TEXT(COUNTIF($E127:OFFSET(Table_ErrorList[[#Headers],[Section '#]],1,0,1,1),Table_ErrorList[[#This Row],[Section '#]]),"000")),Table_ErrorList[[#This Row],[Manual Hierarchy]])</f>
        <v>07-056</v>
      </c>
      <c r="E127" s="104">
        <v>7</v>
      </c>
      <c r="F127" s="104" t="str">
        <f>IFERROR(VLOOKUP(Table_ErrorList[[#This Row],[Section '#]],Table_SectionNames[],MATCH(Table_SectionNames[[#Headers],[Name]],Table_SectionNames[#Headers],0),FALSE),"Not found")</f>
        <v>Other Expenses</v>
      </c>
      <c r="G127" s="104"/>
      <c r="H127" s="107" t="str">
        <f>IFERROR(VLOOKUP(Table_ErrorList[[#This Row],[Attention To Named Range]],Table_NamedRanges[],MATCH(Table_NamedRanges[[#Headers],[Reference Type]],Table_NamedRanges[#Headers],0),FALSE),"Error")</f>
        <v>Single Cell</v>
      </c>
      <c r="I127" s="102" t="s">
        <v>529</v>
      </c>
      <c r="J127" s="107" t="str">
        <f>IF(Table_ErrorList[[#This Row],[Manual Reference]]="",Table_ErrorList[[#This Row],[''Attention To'' Refence]],Table_ErrorList[[#This Row],[Manual Reference]])&amp;","</f>
        <v>$I$33,</v>
      </c>
      <c r="K127" s="107" t="str">
        <f>SUBSTITUTE(SUBSTITUTE(VLOOKUP(Table_ErrorList[[#This Row],[Attention To Named Range]],Table_NamedRanges[],MATCH(Table_NamedRanges[[#Headers],[Reference Text]],Table_NamedRanges[#Headers],0),FALSE),"=",""),"'Travel Expense Summary'!","")</f>
        <v>$I$33</v>
      </c>
      <c r="L127" s="107"/>
      <c r="M127" s="85" t="s">
        <v>1222</v>
      </c>
      <c r="N127" s="85" t="s">
        <v>1227</v>
      </c>
      <c r="O127" s="85" t="b">
        <v>1</v>
      </c>
      <c r="P127" s="106" t="s">
        <v>1228</v>
      </c>
      <c r="Q127" s="106" t="s">
        <v>1229</v>
      </c>
      <c r="R127"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27" s="85"/>
      <c r="T127" s="107" t="str">
        <f>IF(LEN(Table_ErrorList[[#This Row],[Message Bar Display]])&gt;$U$5,"Too Long, Characters = "&amp;LEN(Table_ErrorList[[#This Row],[Message Bar Display]])," ")</f>
        <v xml:space="preserve"> </v>
      </c>
      <c r="U127" s="107" t="str">
        <f>IF(LEN(Table_ErrorList[[#This Row],[Details Explanation (Line '#1)]])&gt;$U$5,"Too Long, Characters = "&amp;LEN(Table_ErrorList[[#This Row],[Details Explanation (Line '#1)]])," ")</f>
        <v xml:space="preserve"> </v>
      </c>
      <c r="V127" s="107" t="str">
        <f>IF(LEN(Table_ErrorList[[#This Row],[Details Explanation (Line '#2)]])&gt;$U$5,"Too Long, Characters = "&amp;LEN(Table_ErrorList[[#This Row],[Details Explanation (Line '#2)]])," ")</f>
        <v xml:space="preserve"> </v>
      </c>
    </row>
    <row r="128" spans="1:22" ht="33.75" x14ac:dyDescent="0.25">
      <c r="A128" s="107" t="b">
        <f>AND(
OR(Others_Expense07=0,Others_Expense07="",Others_Expense07=Dropdown_NotSelectedValue),
COUNTA(Others_Date07,Others_Desc07, Others_From07, Others_To07, Others_Receipt07, Others_KM07)&gt;0)</f>
        <v>0</v>
      </c>
      <c r="B128" s="107">
        <f ca="1">IFERROR(INDIRECT(Table_ErrorList[[#This Row],[Attention To Named Range]]),"Error")</f>
        <v>0</v>
      </c>
      <c r="C128" s="102">
        <v>1310</v>
      </c>
      <c r="D128" s="102" t="str">
        <f ca="1">IF(Table_ErrorList[[#This Row],[Manual Hierarchy]]="",CONCATENATE(TEXT(Table_ErrorList[[#This Row],[Section '#]],"00"),"-",TEXT(COUNTIF($E128:OFFSET(Table_ErrorList[[#Headers],[Section '#]],1,0,1,1),Table_ErrorList[[#This Row],[Section '#]]),"000")),Table_ErrorList[[#This Row],[Manual Hierarchy]])</f>
        <v>07-057</v>
      </c>
      <c r="E128" s="104">
        <v>7</v>
      </c>
      <c r="F128" s="104" t="str">
        <f>IFERROR(VLOOKUP(Table_ErrorList[[#This Row],[Section '#]],Table_SectionNames[],MATCH(Table_SectionNames[[#Headers],[Name]],Table_SectionNames[#Headers],0),FALSE),"Not found")</f>
        <v>Other Expenses</v>
      </c>
      <c r="G128" s="104"/>
      <c r="H128" s="107" t="str">
        <f>IFERROR(VLOOKUP(Table_ErrorList[[#This Row],[Attention To Named Range]],Table_NamedRanges[],MATCH(Table_NamedRanges[[#Headers],[Reference Type]],Table_NamedRanges[#Headers],0),FALSE),"Error")</f>
        <v>Single Cell</v>
      </c>
      <c r="I128" s="102" t="s">
        <v>606</v>
      </c>
      <c r="J128" s="107" t="str">
        <f>IF(Table_ErrorList[[#This Row],[Manual Reference]]="",Table_ErrorList[[#This Row],[''Attention To'' Refence]],Table_ErrorList[[#This Row],[Manual Reference]])&amp;","</f>
        <v>$K$33,</v>
      </c>
      <c r="K128" s="107" t="str">
        <f>SUBSTITUTE(SUBSTITUTE(VLOOKUP(Table_ErrorList[[#This Row],[Attention To Named Range]],Table_NamedRanges[],MATCH(Table_NamedRanges[[#Headers],[Reference Text]],Table_NamedRanges[#Headers],0),FALSE),"=",""),"'Travel Expense Summary'!","")</f>
        <v>$K$33</v>
      </c>
      <c r="L128" s="107"/>
      <c r="M128" s="85" t="s">
        <v>778</v>
      </c>
      <c r="N128" s="85" t="s">
        <v>792</v>
      </c>
      <c r="O128" s="85" t="b">
        <v>1</v>
      </c>
      <c r="P128" s="106" t="s">
        <v>705</v>
      </c>
      <c r="Q128" s="106" t="s">
        <v>708</v>
      </c>
      <c r="R128"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28" s="85" t="b">
        <v>1</v>
      </c>
      <c r="T128" s="85" t="str">
        <f>IF(LEN(Table_ErrorList[[#This Row],[Message Bar Display]])&gt;$U$5,"Too Long, Characters = "&amp;LEN(Table_ErrorList[[#This Row],[Message Bar Display]])," ")</f>
        <v xml:space="preserve"> </v>
      </c>
      <c r="U128" s="85" t="str">
        <f>IF(LEN(Table_ErrorList[[#This Row],[Details Explanation (Line '#1)]])&gt;$U$5,"Too Long, Characters = "&amp;LEN(Table_ErrorList[[#This Row],[Details Explanation (Line '#1)]])," ")</f>
        <v xml:space="preserve"> </v>
      </c>
      <c r="V128" s="85" t="str">
        <f>IF(LEN(Table_ErrorList[[#This Row],[Details Explanation (Line '#2)]])&gt;$U$5,"Too Long, Characters = "&amp;LEN(Table_ErrorList[[#This Row],[Details Explanation (Line '#2)]])," ")</f>
        <v xml:space="preserve"> </v>
      </c>
    </row>
    <row r="129" spans="1:22" s="32" customFormat="1" ht="30" x14ac:dyDescent="0.25">
      <c r="A129" s="107" t="b">
        <f>IF(AND(ISBLANK(Others_Expense07)=FALSE,Others_Expense07&lt;&gt;Dropdown_NotSelectedValue),IFERROR(NOT(MATCH(Others_Expense07,Dropdown_Expenses,0)&gt;0),TRUE),FALSE)</f>
        <v>0</v>
      </c>
      <c r="B129" s="107">
        <f ca="1">IFERROR(INDIRECT(Table_ErrorList[[#This Row],[Attention To Named Range]]),"Error")</f>
        <v>0</v>
      </c>
      <c r="C129" s="102">
        <v>1311</v>
      </c>
      <c r="D129" s="102" t="str">
        <f ca="1">IF(Table_ErrorList[[#This Row],[Manual Hierarchy]]="",CONCATENATE(TEXT(Table_ErrorList[[#This Row],[Section '#]],"00"),"-",TEXT(COUNTIF($E129:OFFSET(Table_ErrorList[[#Headers],[Section '#]],1,0,1,1),Table_ErrorList[[#This Row],[Section '#]]),"000")),Table_ErrorList[[#This Row],[Manual Hierarchy]])</f>
        <v>07-058</v>
      </c>
      <c r="E129" s="104">
        <v>7</v>
      </c>
      <c r="F129" s="104" t="str">
        <f>IFERROR(VLOOKUP(Table_ErrorList[[#This Row],[Section '#]],Table_SectionNames[],MATCH(Table_SectionNames[[#Headers],[Name]],Table_SectionNames[#Headers],0),FALSE),"Not found")</f>
        <v>Other Expenses</v>
      </c>
      <c r="G129" s="104"/>
      <c r="H129" s="107" t="str">
        <f>IFERROR(VLOOKUP(Table_ErrorList[[#This Row],[Attention To Named Range]],Table_NamedRanges[],MATCH(Table_NamedRanges[[#Headers],[Reference Type]],Table_NamedRanges[#Headers],0),FALSE),"Error")</f>
        <v>Single Cell</v>
      </c>
      <c r="I129" s="102" t="s">
        <v>606</v>
      </c>
      <c r="J129" s="107" t="str">
        <f>IF(Table_ErrorList[[#This Row],[Manual Reference]]="",Table_ErrorList[[#This Row],[''Attention To'' Refence]],Table_ErrorList[[#This Row],[Manual Reference]])&amp;","</f>
        <v>$K$33,</v>
      </c>
      <c r="K129" s="107" t="str">
        <f>SUBSTITUTE(SUBSTITUTE(VLOOKUP(Table_ErrorList[[#This Row],[Attention To Named Range]],Table_NamedRanges[],MATCH(Table_NamedRanges[[#Headers],[Reference Text]],Table_NamedRanges[#Headers],0),FALSE),"=",""),"'Travel Expense Summary'!","")</f>
        <v>$K$33</v>
      </c>
      <c r="L129" s="107"/>
      <c r="M129" s="85" t="s">
        <v>1239</v>
      </c>
      <c r="N129" s="85" t="s">
        <v>1240</v>
      </c>
      <c r="O129" s="85" t="b">
        <v>1</v>
      </c>
      <c r="P129" s="106" t="s">
        <v>1241</v>
      </c>
      <c r="Q129" s="106" t="s">
        <v>1232</v>
      </c>
      <c r="R129"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9" s="85" t="b">
        <v>1</v>
      </c>
      <c r="T129" s="107" t="str">
        <f>IF(LEN(Table_ErrorList[[#This Row],[Message Bar Display]])&gt;$U$5,"Too Long, Characters = "&amp;LEN(Table_ErrorList[[#This Row],[Message Bar Display]])," ")</f>
        <v xml:space="preserve"> </v>
      </c>
      <c r="U129" s="107" t="str">
        <f>IF(LEN(Table_ErrorList[[#This Row],[Details Explanation (Line '#1)]])&gt;$U$5,"Too Long, Characters = "&amp;LEN(Table_ErrorList[[#This Row],[Details Explanation (Line '#1)]])," ")</f>
        <v xml:space="preserve"> </v>
      </c>
      <c r="V129" s="107" t="str">
        <f>IF(LEN(Table_ErrorList[[#This Row],[Details Explanation (Line '#2)]])&gt;$U$5,"Too Long, Characters = "&amp;LEN(Table_ErrorList[[#This Row],[Details Explanation (Line '#2)]])," ")</f>
        <v xml:space="preserve"> </v>
      </c>
    </row>
    <row r="130" spans="1:22" ht="30" x14ac:dyDescent="0.25">
      <c r="A130" s="107" t="e">
        <f>AND(
VLOOKUP(Others_Expense07,Table_Expenses[],MATCH(Table_Expenses[[#Headers],[DescriptionRequired]],Table_Expenses[#Headers],0),FALSE),
OR(Others_Desc07=0,Others_Desc07="",Others_Desc07=Dropdown_NotSelectedValue),
COUNTA(Others_Date07,Others_Expense07,, Others_From07, Others_To07, Others_Receipt07, Others_KM07)&gt;0)</f>
        <v>#N/A</v>
      </c>
      <c r="B130" s="107">
        <f ca="1">IFERROR(INDIRECT(Table_ErrorList[[#This Row],[Attention To Named Range]]),"Error")</f>
        <v>0</v>
      </c>
      <c r="C130" s="102">
        <v>1320</v>
      </c>
      <c r="D130" s="102" t="str">
        <f ca="1">IF(Table_ErrorList[[#This Row],[Manual Hierarchy]]="",CONCATENATE(TEXT(Table_ErrorList[[#This Row],[Section '#]],"00"),"-",TEXT(COUNTIF($E130:OFFSET(Table_ErrorList[[#Headers],[Section '#]],1,0,1,1),Table_ErrorList[[#This Row],[Section '#]]),"000")),Table_ErrorList[[#This Row],[Manual Hierarchy]])</f>
        <v>07-059</v>
      </c>
      <c r="E130" s="104">
        <v>7</v>
      </c>
      <c r="F130" s="104" t="str">
        <f>IFERROR(VLOOKUP(Table_ErrorList[[#This Row],[Section '#]],Table_SectionNames[],MATCH(Table_SectionNames[[#Headers],[Name]],Table_SectionNames[#Headers],0),FALSE),"Not found")</f>
        <v>Other Expenses</v>
      </c>
      <c r="G130" s="104"/>
      <c r="H130" s="107" t="str">
        <f>IFERROR(VLOOKUP(Table_ErrorList[[#This Row],[Attention To Named Range]],Table_NamedRanges[],MATCH(Table_NamedRanges[[#Headers],[Reference Type]],Table_NamedRanges[#Headers],0),FALSE),"Error")</f>
        <v>Single Cell</v>
      </c>
      <c r="I130" s="102" t="s">
        <v>585</v>
      </c>
      <c r="J130" s="107" t="str">
        <f>IF(Table_ErrorList[[#This Row],[Manual Reference]]="",Table_ErrorList[[#This Row],[''Attention To'' Refence]],Table_ErrorList[[#This Row],[Manual Reference]])&amp;","</f>
        <v>$M$33,</v>
      </c>
      <c r="K130" s="107" t="str">
        <f>SUBSTITUTE(SUBSTITUTE(VLOOKUP(Table_ErrorList[[#This Row],[Attention To Named Range]],Table_NamedRanges[],MATCH(Table_NamedRanges[[#Headers],[Reference Text]],Table_NamedRanges[#Headers],0),FALSE),"=",""),"'Travel Expense Summary'!","")</f>
        <v>$M$33</v>
      </c>
      <c r="L130" s="107"/>
      <c r="M130" s="85" t="s">
        <v>779</v>
      </c>
      <c r="N130" s="85" t="s">
        <v>793</v>
      </c>
      <c r="O130" s="85" t="b">
        <v>1</v>
      </c>
      <c r="P130" s="106" t="s">
        <v>894</v>
      </c>
      <c r="Q130" s="106" t="s">
        <v>979</v>
      </c>
      <c r="R130"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0" s="85" t="b">
        <v>1</v>
      </c>
      <c r="T130" s="85" t="str">
        <f>IF(LEN(Table_ErrorList[[#This Row],[Message Bar Display]])&gt;$U$5,"Too Long, Characters = "&amp;LEN(Table_ErrorList[[#This Row],[Message Bar Display]])," ")</f>
        <v xml:space="preserve"> </v>
      </c>
      <c r="U130" s="85" t="str">
        <f>IF(LEN(Table_ErrorList[[#This Row],[Details Explanation (Line '#1)]])&gt;$U$5,"Too Long, Characters = "&amp;LEN(Table_ErrorList[[#This Row],[Details Explanation (Line '#1)]])," ")</f>
        <v xml:space="preserve"> </v>
      </c>
      <c r="V130" s="85" t="str">
        <f>IF(LEN(Table_ErrorList[[#This Row],[Details Explanation (Line '#2)]])&gt;$U$5,"Too Long, Characters = "&amp;LEN(Table_ErrorList[[#This Row],[Details Explanation (Line '#2)]])," ")</f>
        <v xml:space="preserve"> </v>
      </c>
    </row>
    <row r="131" spans="1:22" ht="30" x14ac:dyDescent="0.25">
      <c r="A131" s="107" t="e">
        <f>AND(
VLOOKUP(Others_Expense07,Table_Expenses[],MATCH(Table_Expenses[[#Headers],[FromRequired]],Table_Expenses[#Headers],0),FALSE),
OR(Others_From07=0,Others_From07="",Others_From07=Dropdown_NotSelectedValue),
COUNTA(Others_Date07,Others_Expense07,Others_Desc07, Others_To07, Others_Receipt07, Others_KM07)&gt;0)</f>
        <v>#N/A</v>
      </c>
      <c r="B131" s="107">
        <f ca="1">IFERROR(INDIRECT(Table_ErrorList[[#This Row],[Attention To Named Range]]),"Error")</f>
        <v>0</v>
      </c>
      <c r="C131" s="102">
        <v>1330</v>
      </c>
      <c r="D131" s="102" t="str">
        <f ca="1">IF(Table_ErrorList[[#This Row],[Manual Hierarchy]]="",CONCATENATE(TEXT(Table_ErrorList[[#This Row],[Section '#]],"00"),"-",TEXT(COUNTIF($E131:OFFSET(Table_ErrorList[[#Headers],[Section '#]],1,0,1,1),Table_ErrorList[[#This Row],[Section '#]]),"000")),Table_ErrorList[[#This Row],[Manual Hierarchy]])</f>
        <v>07-060</v>
      </c>
      <c r="E131" s="104">
        <v>7</v>
      </c>
      <c r="F131" s="104" t="str">
        <f>IFERROR(VLOOKUP(Table_ErrorList[[#This Row],[Section '#]],Table_SectionNames[],MATCH(Table_SectionNames[[#Headers],[Name]],Table_SectionNames[#Headers],0),FALSE),"Not found")</f>
        <v>Other Expenses</v>
      </c>
      <c r="G131" s="104"/>
      <c r="H131" s="107" t="str">
        <f>IFERROR(VLOOKUP(Table_ErrorList[[#This Row],[Attention To Named Range]],Table_NamedRanges[],MATCH(Table_NamedRanges[[#Headers],[Reference Type]],Table_NamedRanges[#Headers],0),FALSE),"Error")</f>
        <v>Single Cell</v>
      </c>
      <c r="I131" s="102" t="s">
        <v>628</v>
      </c>
      <c r="J131" s="107" t="str">
        <f>IF(Table_ErrorList[[#This Row],[Manual Reference]]="",Table_ErrorList[[#This Row],[''Attention To'' Refence]],Table_ErrorList[[#This Row],[Manual Reference]])&amp;","</f>
        <v>$R$33,</v>
      </c>
      <c r="K131" s="107" t="str">
        <f>SUBSTITUTE(SUBSTITUTE(VLOOKUP(Table_ErrorList[[#This Row],[Attention To Named Range]],Table_NamedRanges[],MATCH(Table_NamedRanges[[#Headers],[Reference Text]],Table_NamedRanges[#Headers],0),FALSE),"=",""),"'Travel Expense Summary'!","")</f>
        <v>$R$33</v>
      </c>
      <c r="L131" s="107"/>
      <c r="M131" s="85" t="s">
        <v>780</v>
      </c>
      <c r="N131" s="85" t="s">
        <v>990</v>
      </c>
      <c r="O131" s="85" t="b">
        <v>1</v>
      </c>
      <c r="P131" s="106" t="s">
        <v>980</v>
      </c>
      <c r="Q131" s="106" t="s">
        <v>981</v>
      </c>
      <c r="R131"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31" s="85" t="b">
        <v>1</v>
      </c>
      <c r="T131" s="85" t="str">
        <f>IF(LEN(Table_ErrorList[[#This Row],[Message Bar Display]])&gt;$U$5,"Too Long, Characters = "&amp;LEN(Table_ErrorList[[#This Row],[Message Bar Display]])," ")</f>
        <v xml:space="preserve"> </v>
      </c>
      <c r="U131" s="85" t="str">
        <f>IF(LEN(Table_ErrorList[[#This Row],[Details Explanation (Line '#1)]])&gt;$U$5,"Too Long, Characters = "&amp;LEN(Table_ErrorList[[#This Row],[Details Explanation (Line '#1)]])," ")</f>
        <v xml:space="preserve"> </v>
      </c>
      <c r="V131" s="85" t="str">
        <f>IF(LEN(Table_ErrorList[[#This Row],[Details Explanation (Line '#2)]])&gt;$U$5,"Too Long, Characters = "&amp;LEN(Table_ErrorList[[#This Row],[Details Explanation (Line '#2)]])," ")</f>
        <v xml:space="preserve"> </v>
      </c>
    </row>
    <row r="132" spans="1:22" ht="30" x14ac:dyDescent="0.25">
      <c r="A132" s="107" t="e">
        <f>AND(
VLOOKUP(Others_Expense07,Table_Expenses[],MATCH(Table_Expenses[[#Headers],[ToRequired]],Table_Expenses[#Headers],0),FALSE),
OR(Others_To07=0,Others_To07="",Others_To07=Dropdown_NotSelectedValue),
COUNTA(Others_Date07,Others_Expense07,Others_Desc07, Others_From07, Others_Receipt07, Others_KM07)&gt;0)</f>
        <v>#N/A</v>
      </c>
      <c r="B132" s="107">
        <f ca="1">IFERROR(INDIRECT(Table_ErrorList[[#This Row],[Attention To Named Range]]),"Error")</f>
        <v>0</v>
      </c>
      <c r="C132" s="102">
        <v>1340</v>
      </c>
      <c r="D132" s="102" t="str">
        <f ca="1">IF(Table_ErrorList[[#This Row],[Manual Hierarchy]]="",CONCATENATE(TEXT(Table_ErrorList[[#This Row],[Section '#]],"00"),"-",TEXT(COUNTIF($E132:OFFSET(Table_ErrorList[[#Headers],[Section '#]],1,0,1,1),Table_ErrorList[[#This Row],[Section '#]]),"000")),Table_ErrorList[[#This Row],[Manual Hierarchy]])</f>
        <v>07-061</v>
      </c>
      <c r="E132" s="104">
        <v>7</v>
      </c>
      <c r="F132" s="104" t="str">
        <f>IFERROR(VLOOKUP(Table_ErrorList[[#This Row],[Section '#]],Table_SectionNames[],MATCH(Table_SectionNames[[#Headers],[Name]],Table_SectionNames[#Headers],0),FALSE),"Not found")</f>
        <v>Other Expenses</v>
      </c>
      <c r="G132" s="104"/>
      <c r="H132" s="107" t="str">
        <f>IFERROR(VLOOKUP(Table_ErrorList[[#This Row],[Attention To Named Range]],Table_NamedRanges[],MATCH(Table_NamedRanges[[#Headers],[Reference Type]],Table_NamedRanges[#Headers],0),FALSE),"Error")</f>
        <v>Single Cell</v>
      </c>
      <c r="I132" s="102" t="s">
        <v>694</v>
      </c>
      <c r="J132" s="107" t="str">
        <f>IF(Table_ErrorList[[#This Row],[Manual Reference]]="",Table_ErrorList[[#This Row],[''Attention To'' Refence]],Table_ErrorList[[#This Row],[Manual Reference]])&amp;","</f>
        <v>$T$33,</v>
      </c>
      <c r="K132" s="107" t="str">
        <f>SUBSTITUTE(SUBSTITUTE(VLOOKUP(Table_ErrorList[[#This Row],[Attention To Named Range]],Table_NamedRanges[],MATCH(Table_NamedRanges[[#Headers],[Reference Text]],Table_NamedRanges[#Headers],0),FALSE),"=",""),"'Travel Expense Summary'!","")</f>
        <v>$T$33</v>
      </c>
      <c r="L132" s="107"/>
      <c r="M132" s="85" t="s">
        <v>781</v>
      </c>
      <c r="N132" s="85" t="s">
        <v>1000</v>
      </c>
      <c r="O132" s="85" t="b">
        <v>1</v>
      </c>
      <c r="P132" s="106" t="s">
        <v>983</v>
      </c>
      <c r="Q132" s="106" t="s">
        <v>981</v>
      </c>
      <c r="R132"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32" s="85" t="b">
        <v>1</v>
      </c>
      <c r="T132" s="85" t="str">
        <f>IF(LEN(Table_ErrorList[[#This Row],[Message Bar Display]])&gt;$U$5,"Too Long, Characters = "&amp;LEN(Table_ErrorList[[#This Row],[Message Bar Display]])," ")</f>
        <v xml:space="preserve"> </v>
      </c>
      <c r="U132" s="85" t="str">
        <f>IF(LEN(Table_ErrorList[[#This Row],[Details Explanation (Line '#1)]])&gt;$U$5,"Too Long, Characters = "&amp;LEN(Table_ErrorList[[#This Row],[Details Explanation (Line '#1)]])," ")</f>
        <v xml:space="preserve"> </v>
      </c>
      <c r="V132" s="85" t="str">
        <f>IF(LEN(Table_ErrorList[[#This Row],[Details Explanation (Line '#2)]])&gt;$U$5,"Too Long, Characters = "&amp;LEN(Table_ErrorList[[#This Row],[Details Explanation (Line '#2)]])," ")</f>
        <v xml:space="preserve"> </v>
      </c>
    </row>
    <row r="133" spans="1:22" ht="33.75" x14ac:dyDescent="0.25">
      <c r="A133" s="107" t="e">
        <f>AND(
VLOOKUP(Others_Expense07,Table_Expenses[],MATCH(Table_Expenses[[#Headers],[ReceiptRequired]],Table_Expenses[#Headers],0),FALSE),
OR(Others_Receipt07=0,Others_Receipt07="",Others_Receipt07=Dropdown_NotSelectedValue),
COUNTA(Others_Date07,Others_Expense07,Others_Desc07, Others_From07, Others_To07, Others_KM07)&gt;0)</f>
        <v>#N/A</v>
      </c>
      <c r="B133" s="107">
        <f ca="1">IFERROR(INDIRECT(Table_ErrorList[[#This Row],[Attention To Named Range]]),"Error")</f>
        <v>0</v>
      </c>
      <c r="C133" s="102">
        <v>1350</v>
      </c>
      <c r="D133" s="102" t="str">
        <f ca="1">IF(Table_ErrorList[[#This Row],[Manual Hierarchy]]="",CONCATENATE(TEXT(Table_ErrorList[[#This Row],[Section '#]],"00"),"-",TEXT(COUNTIF($E133:OFFSET(Table_ErrorList[[#Headers],[Section '#]],1,0,1,1),Table_ErrorList[[#This Row],[Section '#]]),"000")),Table_ErrorList[[#This Row],[Manual Hierarchy]])</f>
        <v>07-062</v>
      </c>
      <c r="E133" s="104">
        <v>7</v>
      </c>
      <c r="F133" s="104" t="str">
        <f>IFERROR(VLOOKUP(Table_ErrorList[[#This Row],[Section '#]],Table_SectionNames[],MATCH(Table_SectionNames[[#Headers],[Name]],Table_SectionNames[#Headers],0),FALSE),"Not found")</f>
        <v>Other Expenses</v>
      </c>
      <c r="G133" s="104"/>
      <c r="H133" s="107" t="str">
        <f>IFERROR(VLOOKUP(Table_ErrorList[[#This Row],[Attention To Named Range]],Table_NamedRanges[],MATCH(Table_NamedRanges[[#Headers],[Reference Type]],Table_NamedRanges[#Headers],0),FALSE),"Error")</f>
        <v>Single Cell</v>
      </c>
      <c r="I133" s="102" t="s">
        <v>672</v>
      </c>
      <c r="J133" s="107" t="str">
        <f>IF(Table_ErrorList[[#This Row],[Manual Reference]]="",Table_ErrorList[[#This Row],[''Attention To'' Refence]],Table_ErrorList[[#This Row],[Manual Reference]])&amp;","</f>
        <v>$X$33,</v>
      </c>
      <c r="K133" s="107" t="str">
        <f>SUBSTITUTE(SUBSTITUTE(VLOOKUP(Table_ErrorList[[#This Row],[Attention To Named Range]],Table_NamedRanges[],MATCH(Table_NamedRanges[[#Headers],[Reference Text]],Table_NamedRanges[#Headers],0),FALSE),"=",""),"'Travel Expense Summary'!","")</f>
        <v>$X$33</v>
      </c>
      <c r="L133" s="107"/>
      <c r="M133" s="85" t="s">
        <v>782</v>
      </c>
      <c r="N133" s="85" t="s">
        <v>794</v>
      </c>
      <c r="O133" s="85" t="b">
        <v>1</v>
      </c>
      <c r="P133" s="106" t="s">
        <v>1079</v>
      </c>
      <c r="Q133" s="106" t="s">
        <v>728</v>
      </c>
      <c r="R133"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33" s="85" t="b">
        <v>1</v>
      </c>
      <c r="T133" s="85" t="str">
        <f>IF(LEN(Table_ErrorList[[#This Row],[Message Bar Display]])&gt;$U$5,"Too Long, Characters = "&amp;LEN(Table_ErrorList[[#This Row],[Message Bar Display]])," ")</f>
        <v xml:space="preserve"> </v>
      </c>
      <c r="U133" s="85" t="str">
        <f>IF(LEN(Table_ErrorList[[#This Row],[Details Explanation (Line '#1)]])&gt;$U$5,"Too Long, Characters = "&amp;LEN(Table_ErrorList[[#This Row],[Details Explanation (Line '#1)]])," ")</f>
        <v xml:space="preserve"> </v>
      </c>
      <c r="V133" s="85" t="str">
        <f>IF(LEN(Table_ErrorList[[#This Row],[Details Explanation (Line '#2)]])&gt;$U$5,"Too Long, Characters = "&amp;LEN(Table_ErrorList[[#This Row],[Details Explanation (Line '#2)]])," ")</f>
        <v xml:space="preserve"> </v>
      </c>
    </row>
    <row r="134" spans="1:22" ht="45" x14ac:dyDescent="0.25">
      <c r="A134" s="107" t="e">
        <f>AND(
VLOOKUP(Others_Expense07,Table_Expenses[],MATCH(Table_Expenses[[#Headers],[KMRequired]],Table_Expenses[#Headers],0),FALSE),
OR(Others_KM07=0,Others_KM07="",Others_KM07=Dropdown_NotSelectedValue),
COUNTA(Others_Date07,Others_Expense07,Others_Desc07, Others_From07, Others_To07, Others_Receipt07)&gt;0)</f>
        <v>#N/A</v>
      </c>
      <c r="B134" s="107">
        <f ca="1">IFERROR(INDIRECT(Table_ErrorList[[#This Row],[Attention To Named Range]]),"Error")</f>
        <v>0</v>
      </c>
      <c r="C134" s="102">
        <v>1360</v>
      </c>
      <c r="D134" s="102" t="str">
        <f ca="1">IF(Table_ErrorList[[#This Row],[Manual Hierarchy]]="",CONCATENATE(TEXT(Table_ErrorList[[#This Row],[Section '#]],"00"),"-",TEXT(COUNTIF($E134:OFFSET(Table_ErrorList[[#Headers],[Section '#]],1,0,1,1),Table_ErrorList[[#This Row],[Section '#]]),"000")),Table_ErrorList[[#This Row],[Manual Hierarchy]])</f>
        <v>07-063</v>
      </c>
      <c r="E134" s="104">
        <v>7</v>
      </c>
      <c r="F134" s="104" t="str">
        <f>IFERROR(VLOOKUP(Table_ErrorList[[#This Row],[Section '#]],Table_SectionNames[],MATCH(Table_SectionNames[[#Headers],[Name]],Table_SectionNames[#Headers],0),FALSE),"Not found")</f>
        <v>Other Expenses</v>
      </c>
      <c r="G134" s="104"/>
      <c r="H134" s="107" t="str">
        <f>IFERROR(VLOOKUP(Table_ErrorList[[#This Row],[Attention To Named Range]],Table_NamedRanges[],MATCH(Table_NamedRanges[[#Headers],[Reference Type]],Table_NamedRanges[#Headers],0),FALSE),"Error")</f>
        <v>Single Cell</v>
      </c>
      <c r="I134" s="102" t="s">
        <v>650</v>
      </c>
      <c r="J134" s="107" t="str">
        <f>IF(Table_ErrorList[[#This Row],[Manual Reference]]="",Table_ErrorList[[#This Row],[''Attention To'' Refence]],Table_ErrorList[[#This Row],[Manual Reference]])&amp;","</f>
        <v>$Y$33,</v>
      </c>
      <c r="K134" s="107" t="str">
        <f>SUBSTITUTE(SUBSTITUTE(VLOOKUP(Table_ErrorList[[#This Row],[Attention To Named Range]],Table_NamedRanges[],MATCH(Table_NamedRanges[[#Headers],[Reference Text]],Table_NamedRanges[#Headers],0),FALSE),"=",""),"'Travel Expense Summary'!","")</f>
        <v>$Y$33</v>
      </c>
      <c r="L134" s="107"/>
      <c r="M134" s="85" t="s">
        <v>783</v>
      </c>
      <c r="N134" s="85" t="s">
        <v>795</v>
      </c>
      <c r="O134" s="85" t="b">
        <v>1</v>
      </c>
      <c r="P134" s="106" t="s">
        <v>892</v>
      </c>
      <c r="Q134" s="106" t="s">
        <v>893</v>
      </c>
      <c r="R134"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34" s="85" t="b">
        <v>1</v>
      </c>
      <c r="T134" s="85" t="str">
        <f>IF(LEN(Table_ErrorList[[#This Row],[Message Bar Display]])&gt;$U$5,"Too Long, Characters = "&amp;LEN(Table_ErrorList[[#This Row],[Message Bar Display]])," ")</f>
        <v xml:space="preserve"> </v>
      </c>
      <c r="U134" s="85" t="str">
        <f>IF(LEN(Table_ErrorList[[#This Row],[Details Explanation (Line '#1)]])&gt;$U$5,"Too Long, Characters = "&amp;LEN(Table_ErrorList[[#This Row],[Details Explanation (Line '#1)]])," ")</f>
        <v xml:space="preserve"> </v>
      </c>
      <c r="V134" s="85" t="str">
        <f>IF(LEN(Table_ErrorList[[#This Row],[Details Explanation (Line '#2)]])&gt;$U$5,"Too Long, Characters = "&amp;LEN(Table_ErrorList[[#This Row],[Details Explanation (Line '#2)]])," ")</f>
        <v xml:space="preserve"> </v>
      </c>
    </row>
    <row r="135" spans="1:22" ht="30" x14ac:dyDescent="0.25">
      <c r="A135" s="107" t="b">
        <f>AND(
OR(Others_Date08=0,Others_Date08="",Others_Date08=Dropdown_NotSelectedValue),
COUNTA(Others_Expense08,Others_Desc08, Others_From08, Others_To08, Others_Receipt08, Others_KM08)&gt;0)</f>
        <v>0</v>
      </c>
      <c r="B135" s="107">
        <f ca="1">IFERROR(INDIRECT(Table_ErrorList[[#This Row],[Attention To Named Range]]),"Error")</f>
        <v>0</v>
      </c>
      <c r="C135" s="102">
        <v>1400</v>
      </c>
      <c r="D135" s="102" t="str">
        <f ca="1">IF(Table_ErrorList[[#This Row],[Manual Hierarchy]]="",CONCATENATE(TEXT(Table_ErrorList[[#This Row],[Section '#]],"00"),"-",TEXT(COUNTIF($E135:OFFSET(Table_ErrorList[[#Headers],[Section '#]],1,0,1,1),Table_ErrorList[[#This Row],[Section '#]]),"000")),Table_ErrorList[[#This Row],[Manual Hierarchy]])</f>
        <v>07-064</v>
      </c>
      <c r="E135" s="104">
        <v>7</v>
      </c>
      <c r="F135" s="104" t="str">
        <f>IFERROR(VLOOKUP(Table_ErrorList[[#This Row],[Section '#]],Table_SectionNames[],MATCH(Table_SectionNames[[#Headers],[Name]],Table_SectionNames[#Headers],0),FALSE),"Not found")</f>
        <v>Other Expenses</v>
      </c>
      <c r="G135" s="104"/>
      <c r="H135" s="107" t="str">
        <f>IFERROR(VLOOKUP(Table_ErrorList[[#This Row],[Attention To Named Range]],Table_NamedRanges[],MATCH(Table_NamedRanges[[#Headers],[Reference Type]],Table_NamedRanges[#Headers],0),FALSE),"Error")</f>
        <v>Single Cell</v>
      </c>
      <c r="I135" s="102" t="s">
        <v>531</v>
      </c>
      <c r="J135" s="107" t="str">
        <f>IF(Table_ErrorList[[#This Row],[Manual Reference]]="",Table_ErrorList[[#This Row],[''Attention To'' Refence]],Table_ErrorList[[#This Row],[Manual Reference]])&amp;","</f>
        <v>$I$34,</v>
      </c>
      <c r="K135" s="107" t="str">
        <f>SUBSTITUTE(SUBSTITUTE(VLOOKUP(Table_ErrorList[[#This Row],[Attention To Named Range]],Table_NamedRanges[],MATCH(Table_NamedRanges[[#Headers],[Reference Text]],Table_NamedRanges[#Headers],0),FALSE),"=",""),"'Travel Expense Summary'!","")</f>
        <v>$I$34</v>
      </c>
      <c r="L135" s="107"/>
      <c r="M135" s="85" t="s">
        <v>784</v>
      </c>
      <c r="N135" s="85" t="s">
        <v>796</v>
      </c>
      <c r="O135" s="85" t="b">
        <v>1</v>
      </c>
      <c r="P135" s="106" t="s">
        <v>260</v>
      </c>
      <c r="Q135" s="106" t="s">
        <v>261</v>
      </c>
      <c r="R135"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35" s="85" t="b">
        <v>1</v>
      </c>
      <c r="T135" s="85" t="str">
        <f>IF(LEN(Table_ErrorList[[#This Row],[Message Bar Display]])&gt;$U$5,"Too Long, Characters = "&amp;LEN(Table_ErrorList[[#This Row],[Message Bar Display]])," ")</f>
        <v xml:space="preserve"> </v>
      </c>
      <c r="U135" s="85" t="str">
        <f>IF(LEN(Table_ErrorList[[#This Row],[Details Explanation (Line '#1)]])&gt;$U$5,"Too Long, Characters = "&amp;LEN(Table_ErrorList[[#This Row],[Details Explanation (Line '#1)]])," ")</f>
        <v xml:space="preserve"> </v>
      </c>
      <c r="V135" s="85" t="str">
        <f>IF(LEN(Table_ErrorList[[#This Row],[Details Explanation (Line '#2)]])&gt;$U$5,"Too Long, Characters = "&amp;LEN(Table_ErrorList[[#This Row],[Details Explanation (Line '#2)]])," ")</f>
        <v xml:space="preserve"> </v>
      </c>
    </row>
    <row r="136" spans="1:22" s="32" customFormat="1" ht="30" x14ac:dyDescent="0.25">
      <c r="A136" s="107" t="b">
        <f>IF(Others_Date08&gt;0,NOT(AND(Field15_TravelStartDate&lt;=Others_Date08,Field16_TravelEndDate&gt;=Others_Date08)),FALSE)</f>
        <v>0</v>
      </c>
      <c r="B136" s="107">
        <f ca="1">IFERROR(INDIRECT(Table_ErrorList[[#This Row],[Attention To Named Range]]),"Error")</f>
        <v>0</v>
      </c>
      <c r="C136" s="102">
        <v>1401</v>
      </c>
      <c r="D136" s="102" t="str">
        <f ca="1">IF(Table_ErrorList[[#This Row],[Manual Hierarchy]]="",CONCATENATE(TEXT(Table_ErrorList[[#This Row],[Section '#]],"00"),"-",TEXT(COUNTIF($E136:OFFSET(Table_ErrorList[[#Headers],[Section '#]],1,0,1,1),Table_ErrorList[[#This Row],[Section '#]]),"000")),Table_ErrorList[[#This Row],[Manual Hierarchy]])</f>
        <v>07-065</v>
      </c>
      <c r="E136" s="104">
        <v>7</v>
      </c>
      <c r="F136" s="104" t="str">
        <f>IFERROR(VLOOKUP(Table_ErrorList[[#This Row],[Section '#]],Table_SectionNames[],MATCH(Table_SectionNames[[#Headers],[Name]],Table_SectionNames[#Headers],0),FALSE),"Not found")</f>
        <v>Other Expenses</v>
      </c>
      <c r="G136" s="104"/>
      <c r="H136" s="107" t="str">
        <f>IFERROR(VLOOKUP(Table_ErrorList[[#This Row],[Attention To Named Range]],Table_NamedRanges[],MATCH(Table_NamedRanges[[#Headers],[Reference Type]],Table_NamedRanges[#Headers],0),FALSE),"Error")</f>
        <v>Single Cell</v>
      </c>
      <c r="I136" s="102" t="s">
        <v>531</v>
      </c>
      <c r="J136" s="107" t="str">
        <f>IF(Table_ErrorList[[#This Row],[Manual Reference]]="",Table_ErrorList[[#This Row],[''Attention To'' Refence]],Table_ErrorList[[#This Row],[Manual Reference]])&amp;","</f>
        <v>$I$34,</v>
      </c>
      <c r="K136" s="107" t="str">
        <f>SUBSTITUTE(SUBSTITUTE(VLOOKUP(Table_ErrorList[[#This Row],[Attention To Named Range]],Table_NamedRanges[],MATCH(Table_NamedRanges[[#Headers],[Reference Text]],Table_NamedRanges[#Headers],0),FALSE),"=",""),"'Travel Expense Summary'!","")</f>
        <v>$I$34</v>
      </c>
      <c r="L136" s="107"/>
      <c r="M136" s="85" t="s">
        <v>1223</v>
      </c>
      <c r="N136" s="85" t="s">
        <v>1227</v>
      </c>
      <c r="O136" s="85" t="b">
        <v>1</v>
      </c>
      <c r="P136" s="106" t="s">
        <v>1228</v>
      </c>
      <c r="Q136" s="106" t="s">
        <v>1229</v>
      </c>
      <c r="R136"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36" s="85"/>
      <c r="T136" s="107" t="str">
        <f>IF(LEN(Table_ErrorList[[#This Row],[Message Bar Display]])&gt;$U$5,"Too Long, Characters = "&amp;LEN(Table_ErrorList[[#This Row],[Message Bar Display]])," ")</f>
        <v xml:space="preserve"> </v>
      </c>
      <c r="U136" s="107" t="str">
        <f>IF(LEN(Table_ErrorList[[#This Row],[Details Explanation (Line '#1)]])&gt;$U$5,"Too Long, Characters = "&amp;LEN(Table_ErrorList[[#This Row],[Details Explanation (Line '#1)]])," ")</f>
        <v xml:space="preserve"> </v>
      </c>
      <c r="V136" s="107" t="str">
        <f>IF(LEN(Table_ErrorList[[#This Row],[Details Explanation (Line '#2)]])&gt;$U$5,"Too Long, Characters = "&amp;LEN(Table_ErrorList[[#This Row],[Details Explanation (Line '#2)]])," ")</f>
        <v xml:space="preserve"> </v>
      </c>
    </row>
    <row r="137" spans="1:22" ht="33.75" x14ac:dyDescent="0.25">
      <c r="A137" s="107" t="b">
        <f>AND(
OR(Others_Expense08=0,Others_Expense08="",Others_Expense08=Dropdown_NotSelectedValue),
COUNTA(Others_Date08,Others_Desc08, Others_From08, Others_To08, Others_Receipt08, Others_KM08)&gt;0)</f>
        <v>0</v>
      </c>
      <c r="B137" s="107">
        <f ca="1">IFERROR(INDIRECT(Table_ErrorList[[#This Row],[Attention To Named Range]]),"Error")</f>
        <v>0</v>
      </c>
      <c r="C137" s="102">
        <v>1410</v>
      </c>
      <c r="D137" s="102" t="str">
        <f ca="1">IF(Table_ErrorList[[#This Row],[Manual Hierarchy]]="",CONCATENATE(TEXT(Table_ErrorList[[#This Row],[Section '#]],"00"),"-",TEXT(COUNTIF($E137:OFFSET(Table_ErrorList[[#Headers],[Section '#]],1,0,1,1),Table_ErrorList[[#This Row],[Section '#]]),"000")),Table_ErrorList[[#This Row],[Manual Hierarchy]])</f>
        <v>07-066</v>
      </c>
      <c r="E137" s="104">
        <v>7</v>
      </c>
      <c r="F137" s="104" t="str">
        <f>IFERROR(VLOOKUP(Table_ErrorList[[#This Row],[Section '#]],Table_SectionNames[],MATCH(Table_SectionNames[[#Headers],[Name]],Table_SectionNames[#Headers],0),FALSE),"Not found")</f>
        <v>Other Expenses</v>
      </c>
      <c r="G137" s="104"/>
      <c r="H137" s="107" t="str">
        <f>IFERROR(VLOOKUP(Table_ErrorList[[#This Row],[Attention To Named Range]],Table_NamedRanges[],MATCH(Table_NamedRanges[[#Headers],[Reference Type]],Table_NamedRanges[#Headers],0),FALSE),"Error")</f>
        <v>Single Cell</v>
      </c>
      <c r="I137" s="102" t="s">
        <v>608</v>
      </c>
      <c r="J137" s="107" t="str">
        <f>IF(Table_ErrorList[[#This Row],[Manual Reference]]="",Table_ErrorList[[#This Row],[''Attention To'' Refence]],Table_ErrorList[[#This Row],[Manual Reference]])&amp;","</f>
        <v>$K$34,</v>
      </c>
      <c r="K137" s="107" t="str">
        <f>SUBSTITUTE(SUBSTITUTE(VLOOKUP(Table_ErrorList[[#This Row],[Attention To Named Range]],Table_NamedRanges[],MATCH(Table_NamedRanges[[#Headers],[Reference Text]],Table_NamedRanges[#Headers],0),FALSE),"=",""),"'Travel Expense Summary'!","")</f>
        <v>$K$34</v>
      </c>
      <c r="L137" s="107"/>
      <c r="M137" s="85" t="s">
        <v>785</v>
      </c>
      <c r="N137" s="85" t="s">
        <v>797</v>
      </c>
      <c r="O137" s="85" t="b">
        <v>1</v>
      </c>
      <c r="P137" s="106" t="s">
        <v>705</v>
      </c>
      <c r="Q137" s="106" t="s">
        <v>708</v>
      </c>
      <c r="R137"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37" s="85" t="b">
        <v>1</v>
      </c>
      <c r="T137" s="85" t="str">
        <f>IF(LEN(Table_ErrorList[[#This Row],[Message Bar Display]])&gt;$U$5,"Too Long, Characters = "&amp;LEN(Table_ErrorList[[#This Row],[Message Bar Display]])," ")</f>
        <v xml:space="preserve"> </v>
      </c>
      <c r="U137" s="85" t="str">
        <f>IF(LEN(Table_ErrorList[[#This Row],[Details Explanation (Line '#1)]])&gt;$U$5,"Too Long, Characters = "&amp;LEN(Table_ErrorList[[#This Row],[Details Explanation (Line '#1)]])," ")</f>
        <v xml:space="preserve"> </v>
      </c>
      <c r="V137" s="85" t="str">
        <f>IF(LEN(Table_ErrorList[[#This Row],[Details Explanation (Line '#2)]])&gt;$U$5,"Too Long, Characters = "&amp;LEN(Table_ErrorList[[#This Row],[Details Explanation (Line '#2)]])," ")</f>
        <v xml:space="preserve"> </v>
      </c>
    </row>
    <row r="138" spans="1:22" s="32" customFormat="1" ht="30" x14ac:dyDescent="0.25">
      <c r="A138" s="107" t="b">
        <f>IF(AND(ISBLANK(Others_Expense08)=FALSE,Others_Expense08&lt;&gt;Dropdown_NotSelectedValue),IFERROR(NOT(MATCH(Others_Expense08,Dropdown_Expenses,0)&gt;0),TRUE),FALSE)</f>
        <v>0</v>
      </c>
      <c r="B138" s="107">
        <f ca="1">IFERROR(INDIRECT(Table_ErrorList[[#This Row],[Attention To Named Range]]),"Error")</f>
        <v>0</v>
      </c>
      <c r="C138" s="102">
        <v>1411</v>
      </c>
      <c r="D138" s="102" t="str">
        <f ca="1">IF(Table_ErrorList[[#This Row],[Manual Hierarchy]]="",CONCATENATE(TEXT(Table_ErrorList[[#This Row],[Section '#]],"00"),"-",TEXT(COUNTIF($E138:OFFSET(Table_ErrorList[[#Headers],[Section '#]],1,0,1,1),Table_ErrorList[[#This Row],[Section '#]]),"000")),Table_ErrorList[[#This Row],[Manual Hierarchy]])</f>
        <v>07-067</v>
      </c>
      <c r="E138" s="104">
        <v>7</v>
      </c>
      <c r="F138" s="104" t="str">
        <f>IFERROR(VLOOKUP(Table_ErrorList[[#This Row],[Section '#]],Table_SectionNames[],MATCH(Table_SectionNames[[#Headers],[Name]],Table_SectionNames[#Headers],0),FALSE),"Not found")</f>
        <v>Other Expenses</v>
      </c>
      <c r="G138" s="104"/>
      <c r="H138" s="107" t="str">
        <f>IFERROR(VLOOKUP(Table_ErrorList[[#This Row],[Attention To Named Range]],Table_NamedRanges[],MATCH(Table_NamedRanges[[#Headers],[Reference Type]],Table_NamedRanges[#Headers],0),FALSE),"Error")</f>
        <v>Single Cell</v>
      </c>
      <c r="I138" s="102" t="s">
        <v>608</v>
      </c>
      <c r="J138" s="107" t="str">
        <f>IF(Table_ErrorList[[#This Row],[Manual Reference]]="",Table_ErrorList[[#This Row],[''Attention To'' Refence]],Table_ErrorList[[#This Row],[Manual Reference]])&amp;","</f>
        <v>$K$34,</v>
      </c>
      <c r="K138" s="107" t="str">
        <f>SUBSTITUTE(SUBSTITUTE(VLOOKUP(Table_ErrorList[[#This Row],[Attention To Named Range]],Table_NamedRanges[],MATCH(Table_NamedRanges[[#Headers],[Reference Text]],Table_NamedRanges[#Headers],0),FALSE),"=",""),"'Travel Expense Summary'!","")</f>
        <v>$K$34</v>
      </c>
      <c r="L138" s="107"/>
      <c r="M138" s="85" t="s">
        <v>1245</v>
      </c>
      <c r="N138" s="85" t="s">
        <v>1240</v>
      </c>
      <c r="O138" s="85" t="b">
        <v>1</v>
      </c>
      <c r="P138" s="106" t="s">
        <v>1241</v>
      </c>
      <c r="Q138" s="106" t="s">
        <v>1232</v>
      </c>
      <c r="R138"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38" s="85" t="b">
        <v>1</v>
      </c>
      <c r="T138" s="107" t="str">
        <f>IF(LEN(Table_ErrorList[[#This Row],[Message Bar Display]])&gt;$U$5,"Too Long, Characters = "&amp;LEN(Table_ErrorList[[#This Row],[Message Bar Display]])," ")</f>
        <v xml:space="preserve"> </v>
      </c>
      <c r="U138" s="107" t="str">
        <f>IF(LEN(Table_ErrorList[[#This Row],[Details Explanation (Line '#1)]])&gt;$U$5,"Too Long, Characters = "&amp;LEN(Table_ErrorList[[#This Row],[Details Explanation (Line '#1)]])," ")</f>
        <v xml:space="preserve"> </v>
      </c>
      <c r="V138" s="107" t="str">
        <f>IF(LEN(Table_ErrorList[[#This Row],[Details Explanation (Line '#2)]])&gt;$U$5,"Too Long, Characters = "&amp;LEN(Table_ErrorList[[#This Row],[Details Explanation (Line '#2)]])," ")</f>
        <v xml:space="preserve"> </v>
      </c>
    </row>
    <row r="139" spans="1:22" ht="30" x14ac:dyDescent="0.25">
      <c r="A139" s="107" t="e">
        <f>AND(
VLOOKUP(Others_Expense08,Table_Expenses[],MATCH(Table_Expenses[[#Headers],[DescriptionRequired]],Table_Expenses[#Headers],0),FALSE),
OR(Others_Desc08=0,Others_Desc08="",Others_Desc08=Dropdown_NotSelectedValue),
COUNTA(Others_Date08,Others_Expense08,, Others_From08, Others_To08, Others_Receipt08, Others_KM08)&gt;0)</f>
        <v>#N/A</v>
      </c>
      <c r="B139" s="107">
        <f ca="1">IFERROR(INDIRECT(Table_ErrorList[[#This Row],[Attention To Named Range]]),"Error")</f>
        <v>0</v>
      </c>
      <c r="C139" s="102">
        <v>1420</v>
      </c>
      <c r="D139" s="102" t="str">
        <f ca="1">IF(Table_ErrorList[[#This Row],[Manual Hierarchy]]="",CONCATENATE(TEXT(Table_ErrorList[[#This Row],[Section '#]],"00"),"-",TEXT(COUNTIF($E139:OFFSET(Table_ErrorList[[#Headers],[Section '#]],1,0,1,1),Table_ErrorList[[#This Row],[Section '#]]),"000")),Table_ErrorList[[#This Row],[Manual Hierarchy]])</f>
        <v>07-068</v>
      </c>
      <c r="E139" s="104">
        <v>7</v>
      </c>
      <c r="F139" s="104" t="str">
        <f>IFERROR(VLOOKUP(Table_ErrorList[[#This Row],[Section '#]],Table_SectionNames[],MATCH(Table_SectionNames[[#Headers],[Name]],Table_SectionNames[#Headers],0),FALSE),"Not found")</f>
        <v>Other Expenses</v>
      </c>
      <c r="G139" s="104"/>
      <c r="H139" s="107" t="str">
        <f>IFERROR(VLOOKUP(Table_ErrorList[[#This Row],[Attention To Named Range]],Table_NamedRanges[],MATCH(Table_NamedRanges[[#Headers],[Reference Type]],Table_NamedRanges[#Headers],0),FALSE),"Error")</f>
        <v>Single Cell</v>
      </c>
      <c r="I139" s="102" t="s">
        <v>587</v>
      </c>
      <c r="J139" s="107" t="str">
        <f>IF(Table_ErrorList[[#This Row],[Manual Reference]]="",Table_ErrorList[[#This Row],[''Attention To'' Refence]],Table_ErrorList[[#This Row],[Manual Reference]])&amp;","</f>
        <v>$M$34,</v>
      </c>
      <c r="K139" s="107" t="str">
        <f>SUBSTITUTE(SUBSTITUTE(VLOOKUP(Table_ErrorList[[#This Row],[Attention To Named Range]],Table_NamedRanges[],MATCH(Table_NamedRanges[[#Headers],[Reference Text]],Table_NamedRanges[#Headers],0),FALSE),"=",""),"'Travel Expense Summary'!","")</f>
        <v>$M$34</v>
      </c>
      <c r="L139" s="107"/>
      <c r="M139" s="85" t="s">
        <v>786</v>
      </c>
      <c r="N139" s="85" t="s">
        <v>798</v>
      </c>
      <c r="O139" s="85" t="b">
        <v>1</v>
      </c>
      <c r="P139" s="106" t="s">
        <v>894</v>
      </c>
      <c r="Q139" s="106" t="s">
        <v>979</v>
      </c>
      <c r="R139"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9" s="85" t="b">
        <v>1</v>
      </c>
      <c r="T139" s="85" t="str">
        <f>IF(LEN(Table_ErrorList[[#This Row],[Message Bar Display]])&gt;$U$5,"Too Long, Characters = "&amp;LEN(Table_ErrorList[[#This Row],[Message Bar Display]])," ")</f>
        <v xml:space="preserve"> </v>
      </c>
      <c r="U139" s="85" t="str">
        <f>IF(LEN(Table_ErrorList[[#This Row],[Details Explanation (Line '#1)]])&gt;$U$5,"Too Long, Characters = "&amp;LEN(Table_ErrorList[[#This Row],[Details Explanation (Line '#1)]])," ")</f>
        <v xml:space="preserve"> </v>
      </c>
      <c r="V139" s="85" t="str">
        <f>IF(LEN(Table_ErrorList[[#This Row],[Details Explanation (Line '#2)]])&gt;$U$5,"Too Long, Characters = "&amp;LEN(Table_ErrorList[[#This Row],[Details Explanation (Line '#2)]])," ")</f>
        <v xml:space="preserve"> </v>
      </c>
    </row>
    <row r="140" spans="1:22" ht="30" x14ac:dyDescent="0.25">
      <c r="A140" s="107" t="e">
        <f>AND(
VLOOKUP(Others_Expense08,Table_Expenses[],MATCH(Table_Expenses[[#Headers],[FromRequired]],Table_Expenses[#Headers],0),FALSE),
OR(Others_From08=0,Others_From08="",Others_From08=Dropdown_NotSelectedValue),
COUNTA(Others_Date08,Others_Expense08,Others_Desc08, Others_To08, Others_Receipt08, Others_KM08)&gt;0)</f>
        <v>#N/A</v>
      </c>
      <c r="B140" s="107">
        <f ca="1">IFERROR(INDIRECT(Table_ErrorList[[#This Row],[Attention To Named Range]]),"Error")</f>
        <v>0</v>
      </c>
      <c r="C140" s="102">
        <v>1430</v>
      </c>
      <c r="D140" s="102" t="str">
        <f ca="1">IF(Table_ErrorList[[#This Row],[Manual Hierarchy]]="",CONCATENATE(TEXT(Table_ErrorList[[#This Row],[Section '#]],"00"),"-",TEXT(COUNTIF($E140:OFFSET(Table_ErrorList[[#Headers],[Section '#]],1,0,1,1),Table_ErrorList[[#This Row],[Section '#]]),"000")),Table_ErrorList[[#This Row],[Manual Hierarchy]])</f>
        <v>07-069</v>
      </c>
      <c r="E140" s="104">
        <v>7</v>
      </c>
      <c r="F140" s="104" t="str">
        <f>IFERROR(VLOOKUP(Table_ErrorList[[#This Row],[Section '#]],Table_SectionNames[],MATCH(Table_SectionNames[[#Headers],[Name]],Table_SectionNames[#Headers],0),FALSE),"Not found")</f>
        <v>Other Expenses</v>
      </c>
      <c r="G140" s="104"/>
      <c r="H140" s="107" t="str">
        <f>IFERROR(VLOOKUP(Table_ErrorList[[#This Row],[Attention To Named Range]],Table_NamedRanges[],MATCH(Table_NamedRanges[[#Headers],[Reference Type]],Table_NamedRanges[#Headers],0),FALSE),"Error")</f>
        <v>Single Cell</v>
      </c>
      <c r="I140" s="102" t="s">
        <v>630</v>
      </c>
      <c r="J140" s="107" t="str">
        <f>IF(Table_ErrorList[[#This Row],[Manual Reference]]="",Table_ErrorList[[#This Row],[''Attention To'' Refence]],Table_ErrorList[[#This Row],[Manual Reference]])&amp;","</f>
        <v>$R$34,</v>
      </c>
      <c r="K140" s="107" t="str">
        <f>SUBSTITUTE(SUBSTITUTE(VLOOKUP(Table_ErrorList[[#This Row],[Attention To Named Range]],Table_NamedRanges[],MATCH(Table_NamedRanges[[#Headers],[Reference Text]],Table_NamedRanges[#Headers],0),FALSE),"=",""),"'Travel Expense Summary'!","")</f>
        <v>$R$34</v>
      </c>
      <c r="L140" s="107"/>
      <c r="M140" s="85" t="s">
        <v>787</v>
      </c>
      <c r="N140" s="85" t="s">
        <v>991</v>
      </c>
      <c r="O140" s="85" t="b">
        <v>1</v>
      </c>
      <c r="P140" s="106" t="s">
        <v>980</v>
      </c>
      <c r="Q140" s="106" t="s">
        <v>981</v>
      </c>
      <c r="R140"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0" s="85" t="b">
        <v>1</v>
      </c>
      <c r="T140" s="85" t="str">
        <f>IF(LEN(Table_ErrorList[[#This Row],[Message Bar Display]])&gt;$U$5,"Too Long, Characters = "&amp;LEN(Table_ErrorList[[#This Row],[Message Bar Display]])," ")</f>
        <v xml:space="preserve"> </v>
      </c>
      <c r="U140" s="85" t="str">
        <f>IF(LEN(Table_ErrorList[[#This Row],[Details Explanation (Line '#1)]])&gt;$U$5,"Too Long, Characters = "&amp;LEN(Table_ErrorList[[#This Row],[Details Explanation (Line '#1)]])," ")</f>
        <v xml:space="preserve"> </v>
      </c>
      <c r="V140" s="85" t="str">
        <f>IF(LEN(Table_ErrorList[[#This Row],[Details Explanation (Line '#2)]])&gt;$U$5,"Too Long, Characters = "&amp;LEN(Table_ErrorList[[#This Row],[Details Explanation (Line '#2)]])," ")</f>
        <v xml:space="preserve"> </v>
      </c>
    </row>
    <row r="141" spans="1:22" ht="30" x14ac:dyDescent="0.25">
      <c r="A141" s="107" t="e">
        <f>AND(
VLOOKUP(Others_Expense08,Table_Expenses[],MATCH(Table_Expenses[[#Headers],[ToRequired]],Table_Expenses[#Headers],0),FALSE),
OR(Others_To08=0,Others_To08="",Others_To08=Dropdown_NotSelectedValue),
COUNTA(Others_Date08,Others_Expense08,Others_Desc08, Others_From08, Others_Receipt08, Others_KM08)&gt;0)</f>
        <v>#N/A</v>
      </c>
      <c r="B141" s="107">
        <f ca="1">IFERROR(INDIRECT(Table_ErrorList[[#This Row],[Attention To Named Range]]),"Error")</f>
        <v>0</v>
      </c>
      <c r="C141" s="102">
        <v>1440</v>
      </c>
      <c r="D141" s="102" t="str">
        <f ca="1">IF(Table_ErrorList[[#This Row],[Manual Hierarchy]]="",CONCATENATE(TEXT(Table_ErrorList[[#This Row],[Section '#]],"00"),"-",TEXT(COUNTIF($E141:OFFSET(Table_ErrorList[[#Headers],[Section '#]],1,0,1,1),Table_ErrorList[[#This Row],[Section '#]]),"000")),Table_ErrorList[[#This Row],[Manual Hierarchy]])</f>
        <v>07-070</v>
      </c>
      <c r="E141" s="104">
        <v>7</v>
      </c>
      <c r="F141" s="104" t="str">
        <f>IFERROR(VLOOKUP(Table_ErrorList[[#This Row],[Section '#]],Table_SectionNames[],MATCH(Table_SectionNames[[#Headers],[Name]],Table_SectionNames[#Headers],0),FALSE),"Not found")</f>
        <v>Other Expenses</v>
      </c>
      <c r="G141" s="104"/>
      <c r="H141" s="107" t="str">
        <f>IFERROR(VLOOKUP(Table_ErrorList[[#This Row],[Attention To Named Range]],Table_NamedRanges[],MATCH(Table_NamedRanges[[#Headers],[Reference Type]],Table_NamedRanges[#Headers],0),FALSE),"Error")</f>
        <v>Single Cell</v>
      </c>
      <c r="I141" s="102" t="s">
        <v>696</v>
      </c>
      <c r="J141" s="107" t="str">
        <f>IF(Table_ErrorList[[#This Row],[Manual Reference]]="",Table_ErrorList[[#This Row],[''Attention To'' Refence]],Table_ErrorList[[#This Row],[Manual Reference]])&amp;","</f>
        <v>$T$34,</v>
      </c>
      <c r="K141" s="107" t="str">
        <f>SUBSTITUTE(SUBSTITUTE(VLOOKUP(Table_ErrorList[[#This Row],[Attention To Named Range]],Table_NamedRanges[],MATCH(Table_NamedRanges[[#Headers],[Reference Text]],Table_NamedRanges[#Headers],0),FALSE),"=",""),"'Travel Expense Summary'!","")</f>
        <v>$T$34</v>
      </c>
      <c r="L141" s="107"/>
      <c r="M141" s="85" t="s">
        <v>788</v>
      </c>
      <c r="N141" s="85" t="s">
        <v>1001</v>
      </c>
      <c r="O141" s="85" t="b">
        <v>1</v>
      </c>
      <c r="P141" s="106" t="s">
        <v>983</v>
      </c>
      <c r="Q141" s="106" t="s">
        <v>981</v>
      </c>
      <c r="R141"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41" s="85" t="b">
        <v>1</v>
      </c>
      <c r="T141" s="85" t="str">
        <f>IF(LEN(Table_ErrorList[[#This Row],[Message Bar Display]])&gt;$U$5,"Too Long, Characters = "&amp;LEN(Table_ErrorList[[#This Row],[Message Bar Display]])," ")</f>
        <v xml:space="preserve"> </v>
      </c>
      <c r="U141" s="85" t="str">
        <f>IF(LEN(Table_ErrorList[[#This Row],[Details Explanation (Line '#1)]])&gt;$U$5,"Too Long, Characters = "&amp;LEN(Table_ErrorList[[#This Row],[Details Explanation (Line '#1)]])," ")</f>
        <v xml:space="preserve"> </v>
      </c>
      <c r="V141" s="85" t="str">
        <f>IF(LEN(Table_ErrorList[[#This Row],[Details Explanation (Line '#2)]])&gt;$U$5,"Too Long, Characters = "&amp;LEN(Table_ErrorList[[#This Row],[Details Explanation (Line '#2)]])," ")</f>
        <v xml:space="preserve"> </v>
      </c>
    </row>
    <row r="142" spans="1:22" ht="33.75" x14ac:dyDescent="0.25">
      <c r="A142" s="107" t="e">
        <f>AND(
VLOOKUP(Others_Expense08,Table_Expenses[],MATCH(Table_Expenses[[#Headers],[ReceiptRequired]],Table_Expenses[#Headers],0),FALSE),
OR(Others_Receipt08=0,Others_Receipt08="",Others_Receipt08=Dropdown_NotSelectedValue),
COUNTA(Others_Date08,Others_Expense08,Others_Desc08, Others_From08, Others_To08, Others_KM08)&gt;0)</f>
        <v>#N/A</v>
      </c>
      <c r="B142" s="107">
        <f ca="1">IFERROR(INDIRECT(Table_ErrorList[[#This Row],[Attention To Named Range]]),"Error")</f>
        <v>0</v>
      </c>
      <c r="C142" s="102">
        <v>1450</v>
      </c>
      <c r="D142" s="102" t="str">
        <f ca="1">IF(Table_ErrorList[[#This Row],[Manual Hierarchy]]="",CONCATENATE(TEXT(Table_ErrorList[[#This Row],[Section '#]],"00"),"-",TEXT(COUNTIF($E142:OFFSET(Table_ErrorList[[#Headers],[Section '#]],1,0,1,1),Table_ErrorList[[#This Row],[Section '#]]),"000")),Table_ErrorList[[#This Row],[Manual Hierarchy]])</f>
        <v>07-071</v>
      </c>
      <c r="E142" s="104">
        <v>7</v>
      </c>
      <c r="F142" s="104" t="str">
        <f>IFERROR(VLOOKUP(Table_ErrorList[[#This Row],[Section '#]],Table_SectionNames[],MATCH(Table_SectionNames[[#Headers],[Name]],Table_SectionNames[#Headers],0),FALSE),"Not found")</f>
        <v>Other Expenses</v>
      </c>
      <c r="G142" s="104"/>
      <c r="H142" s="107" t="str">
        <f>IFERROR(VLOOKUP(Table_ErrorList[[#This Row],[Attention To Named Range]],Table_NamedRanges[],MATCH(Table_NamedRanges[[#Headers],[Reference Type]],Table_NamedRanges[#Headers],0),FALSE),"Error")</f>
        <v>Single Cell</v>
      </c>
      <c r="I142" s="102" t="s">
        <v>674</v>
      </c>
      <c r="J142" s="107" t="str">
        <f>IF(Table_ErrorList[[#This Row],[Manual Reference]]="",Table_ErrorList[[#This Row],[''Attention To'' Refence]],Table_ErrorList[[#This Row],[Manual Reference]])&amp;","</f>
        <v>$X$34,</v>
      </c>
      <c r="K142" s="107" t="str">
        <f>SUBSTITUTE(SUBSTITUTE(VLOOKUP(Table_ErrorList[[#This Row],[Attention To Named Range]],Table_NamedRanges[],MATCH(Table_NamedRanges[[#Headers],[Reference Text]],Table_NamedRanges[#Headers],0),FALSE),"=",""),"'Travel Expense Summary'!","")</f>
        <v>$X$34</v>
      </c>
      <c r="L142" s="107"/>
      <c r="M142" s="85" t="s">
        <v>789</v>
      </c>
      <c r="N142" s="85" t="s">
        <v>799</v>
      </c>
      <c r="O142" s="85" t="b">
        <v>1</v>
      </c>
      <c r="P142" s="106" t="s">
        <v>1079</v>
      </c>
      <c r="Q142" s="106" t="s">
        <v>728</v>
      </c>
      <c r="R142"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42" s="85" t="b">
        <v>1</v>
      </c>
      <c r="T142" s="85" t="str">
        <f>IF(LEN(Table_ErrorList[[#This Row],[Message Bar Display]])&gt;$U$5,"Too Long, Characters = "&amp;LEN(Table_ErrorList[[#This Row],[Message Bar Display]])," ")</f>
        <v xml:space="preserve"> </v>
      </c>
      <c r="U142" s="85" t="str">
        <f>IF(LEN(Table_ErrorList[[#This Row],[Details Explanation (Line '#1)]])&gt;$U$5,"Too Long, Characters = "&amp;LEN(Table_ErrorList[[#This Row],[Details Explanation (Line '#1)]])," ")</f>
        <v xml:space="preserve"> </v>
      </c>
      <c r="V142" s="85" t="str">
        <f>IF(LEN(Table_ErrorList[[#This Row],[Details Explanation (Line '#2)]])&gt;$U$5,"Too Long, Characters = "&amp;LEN(Table_ErrorList[[#This Row],[Details Explanation (Line '#2)]])," ")</f>
        <v xml:space="preserve"> </v>
      </c>
    </row>
    <row r="143" spans="1:22" ht="45" x14ac:dyDescent="0.25">
      <c r="A143" s="107" t="e">
        <f>AND(
VLOOKUP(Others_Expense08,Table_Expenses[],MATCH(Table_Expenses[[#Headers],[KMRequired]],Table_Expenses[#Headers],0),FALSE),
OR(Others_KM08=0,Others_KM08="",Others_KM08=Dropdown_NotSelectedValue),
COUNTA(Others_Date08,Others_Expense08,Others_Desc08, Others_From08, Others_To08, Others_Receipt08)&gt;0)</f>
        <v>#N/A</v>
      </c>
      <c r="B143" s="107">
        <f ca="1">IFERROR(INDIRECT(Table_ErrorList[[#This Row],[Attention To Named Range]]),"Error")</f>
        <v>0</v>
      </c>
      <c r="C143" s="102">
        <v>1460</v>
      </c>
      <c r="D143" s="102" t="str">
        <f ca="1">IF(Table_ErrorList[[#This Row],[Manual Hierarchy]]="",CONCATENATE(TEXT(Table_ErrorList[[#This Row],[Section '#]],"00"),"-",TEXT(COUNTIF($E143:OFFSET(Table_ErrorList[[#Headers],[Section '#]],1,0,1,1),Table_ErrorList[[#This Row],[Section '#]]),"000")),Table_ErrorList[[#This Row],[Manual Hierarchy]])</f>
        <v>07-072</v>
      </c>
      <c r="E143" s="104">
        <v>7</v>
      </c>
      <c r="F143" s="104" t="str">
        <f>IFERROR(VLOOKUP(Table_ErrorList[[#This Row],[Section '#]],Table_SectionNames[],MATCH(Table_SectionNames[[#Headers],[Name]],Table_SectionNames[#Headers],0),FALSE),"Not found")</f>
        <v>Other Expenses</v>
      </c>
      <c r="G143" s="104"/>
      <c r="H143" s="107" t="str">
        <f>IFERROR(VLOOKUP(Table_ErrorList[[#This Row],[Attention To Named Range]],Table_NamedRanges[],MATCH(Table_NamedRanges[[#Headers],[Reference Type]],Table_NamedRanges[#Headers],0),FALSE),"Error")</f>
        <v>Single Cell</v>
      </c>
      <c r="I143" s="102" t="s">
        <v>652</v>
      </c>
      <c r="J143" s="107" t="str">
        <f>IF(Table_ErrorList[[#This Row],[Manual Reference]]="",Table_ErrorList[[#This Row],[''Attention To'' Refence]],Table_ErrorList[[#This Row],[Manual Reference]])&amp;","</f>
        <v>$Y$34,</v>
      </c>
      <c r="K143" s="107" t="str">
        <f>SUBSTITUTE(SUBSTITUTE(VLOOKUP(Table_ErrorList[[#This Row],[Attention To Named Range]],Table_NamedRanges[],MATCH(Table_NamedRanges[[#Headers],[Reference Text]],Table_NamedRanges[#Headers],0),FALSE),"=",""),"'Travel Expense Summary'!","")</f>
        <v>$Y$34</v>
      </c>
      <c r="L143" s="107"/>
      <c r="M143" s="85" t="s">
        <v>790</v>
      </c>
      <c r="N143" s="85" t="s">
        <v>800</v>
      </c>
      <c r="O143" s="85" t="b">
        <v>1</v>
      </c>
      <c r="P143" s="106" t="s">
        <v>892</v>
      </c>
      <c r="Q143" s="106" t="s">
        <v>893</v>
      </c>
      <c r="R143"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43" s="85" t="b">
        <v>1</v>
      </c>
      <c r="T143" s="85" t="str">
        <f>IF(LEN(Table_ErrorList[[#This Row],[Message Bar Display]])&gt;$U$5,"Too Long, Characters = "&amp;LEN(Table_ErrorList[[#This Row],[Message Bar Display]])," ")</f>
        <v xml:space="preserve"> </v>
      </c>
      <c r="U143" s="85" t="str">
        <f>IF(LEN(Table_ErrorList[[#This Row],[Details Explanation (Line '#1)]])&gt;$U$5,"Too Long, Characters = "&amp;LEN(Table_ErrorList[[#This Row],[Details Explanation (Line '#1)]])," ")</f>
        <v xml:space="preserve"> </v>
      </c>
      <c r="V143" s="85" t="str">
        <f>IF(LEN(Table_ErrorList[[#This Row],[Details Explanation (Line '#2)]])&gt;$U$5,"Too Long, Characters = "&amp;LEN(Table_ErrorList[[#This Row],[Details Explanation (Line '#2)]])," ")</f>
        <v xml:space="preserve"> </v>
      </c>
    </row>
    <row r="144" spans="1:22" ht="30" x14ac:dyDescent="0.25">
      <c r="A144" s="107" t="b">
        <f>AND(
OR(Others_Date09=0,Others_Date09="",Others_Date09=Dropdown_NotSelectedValue),
COUNTA(Others_Expense09,Others_Desc09, Others_From09, Others_To09, Others_Receipt09, Others_KM09)&gt;0)</f>
        <v>0</v>
      </c>
      <c r="B144" s="107">
        <f ca="1">IFERROR(INDIRECT(Table_ErrorList[[#This Row],[Attention To Named Range]]),"Error")</f>
        <v>0</v>
      </c>
      <c r="C144" s="102">
        <v>1500</v>
      </c>
      <c r="D144" s="102" t="str">
        <f ca="1">IF(Table_ErrorList[[#This Row],[Manual Hierarchy]]="",CONCATENATE(TEXT(Table_ErrorList[[#This Row],[Section '#]],"00"),"-",TEXT(COUNTIF($E144:OFFSET(Table_ErrorList[[#Headers],[Section '#]],1,0,1,1),Table_ErrorList[[#This Row],[Section '#]]),"000")),Table_ErrorList[[#This Row],[Manual Hierarchy]])</f>
        <v>07-073</v>
      </c>
      <c r="E144" s="104">
        <v>7</v>
      </c>
      <c r="F144" s="104" t="str">
        <f>IFERROR(VLOOKUP(Table_ErrorList[[#This Row],[Section '#]],Table_SectionNames[],MATCH(Table_SectionNames[[#Headers],[Name]],Table_SectionNames[#Headers],0),FALSE),"Not found")</f>
        <v>Other Expenses</v>
      </c>
      <c r="G144" s="104"/>
      <c r="H144" s="107" t="str">
        <f>IFERROR(VLOOKUP(Table_ErrorList[[#This Row],[Attention To Named Range]],Table_NamedRanges[],MATCH(Table_NamedRanges[[#Headers],[Reference Type]],Table_NamedRanges[#Headers],0),FALSE),"Error")</f>
        <v>Single Cell</v>
      </c>
      <c r="I144" s="102" t="s">
        <v>533</v>
      </c>
      <c r="J144" s="107" t="str">
        <f>IF(Table_ErrorList[[#This Row],[Manual Reference]]="",Table_ErrorList[[#This Row],[''Attention To'' Refence]],Table_ErrorList[[#This Row],[Manual Reference]])&amp;","</f>
        <v>$I$35,</v>
      </c>
      <c r="K144" s="107" t="str">
        <f>SUBSTITUTE(SUBSTITUTE(VLOOKUP(Table_ErrorList[[#This Row],[Attention To Named Range]],Table_NamedRanges[],MATCH(Table_NamedRanges[[#Headers],[Reference Text]],Table_NamedRanges[#Headers],0),FALSE),"=",""),"'Travel Expense Summary'!","")</f>
        <v>$I$35</v>
      </c>
      <c r="L144" s="107"/>
      <c r="M144" s="85" t="s">
        <v>801</v>
      </c>
      <c r="N144" s="85" t="s">
        <v>808</v>
      </c>
      <c r="O144" s="85" t="b">
        <v>1</v>
      </c>
      <c r="P144" s="106" t="s">
        <v>260</v>
      </c>
      <c r="Q144" s="106" t="s">
        <v>261</v>
      </c>
      <c r="R144"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44" s="85" t="b">
        <v>1</v>
      </c>
      <c r="T144" s="85" t="str">
        <f>IF(LEN(Table_ErrorList[[#This Row],[Message Bar Display]])&gt;$U$5,"Too Long, Characters = "&amp;LEN(Table_ErrorList[[#This Row],[Message Bar Display]])," ")</f>
        <v xml:space="preserve"> </v>
      </c>
      <c r="U144" s="85" t="str">
        <f>IF(LEN(Table_ErrorList[[#This Row],[Details Explanation (Line '#1)]])&gt;$U$5,"Too Long, Characters = "&amp;LEN(Table_ErrorList[[#This Row],[Details Explanation (Line '#1)]])," ")</f>
        <v xml:space="preserve"> </v>
      </c>
      <c r="V144" s="85" t="str">
        <f>IF(LEN(Table_ErrorList[[#This Row],[Details Explanation (Line '#2)]])&gt;$U$5,"Too Long, Characters = "&amp;LEN(Table_ErrorList[[#This Row],[Details Explanation (Line '#2)]])," ")</f>
        <v xml:space="preserve"> </v>
      </c>
    </row>
    <row r="145" spans="1:22" s="32" customFormat="1" ht="30" x14ac:dyDescent="0.25">
      <c r="A145" s="107" t="b">
        <f>IF(Others_Date09&gt;0,NOT(AND(Field15_TravelStartDate&lt;=Others_Date09,Field16_TravelEndDate&gt;=Others_Date09)),FALSE)</f>
        <v>0</v>
      </c>
      <c r="B145" s="107">
        <f ca="1">IFERROR(INDIRECT(Table_ErrorList[[#This Row],[Attention To Named Range]]),"Error")</f>
        <v>0</v>
      </c>
      <c r="C145" s="102">
        <v>1501</v>
      </c>
      <c r="D145" s="102" t="str">
        <f ca="1">IF(Table_ErrorList[[#This Row],[Manual Hierarchy]]="",CONCATENATE(TEXT(Table_ErrorList[[#This Row],[Section '#]],"00"),"-",TEXT(COUNTIF($E145:OFFSET(Table_ErrorList[[#Headers],[Section '#]],1,0,1,1),Table_ErrorList[[#This Row],[Section '#]]),"000")),Table_ErrorList[[#This Row],[Manual Hierarchy]])</f>
        <v>07-074</v>
      </c>
      <c r="E145" s="104">
        <v>7</v>
      </c>
      <c r="F145" s="104" t="str">
        <f>IFERROR(VLOOKUP(Table_ErrorList[[#This Row],[Section '#]],Table_SectionNames[],MATCH(Table_SectionNames[[#Headers],[Name]],Table_SectionNames[#Headers],0),FALSE),"Not found")</f>
        <v>Other Expenses</v>
      </c>
      <c r="G145" s="104"/>
      <c r="H145" s="107" t="str">
        <f>IFERROR(VLOOKUP(Table_ErrorList[[#This Row],[Attention To Named Range]],Table_NamedRanges[],MATCH(Table_NamedRanges[[#Headers],[Reference Type]],Table_NamedRanges[#Headers],0),FALSE),"Error")</f>
        <v>Single Cell</v>
      </c>
      <c r="I145" s="102" t="s">
        <v>533</v>
      </c>
      <c r="J145" s="107" t="str">
        <f>IF(Table_ErrorList[[#This Row],[Manual Reference]]="",Table_ErrorList[[#This Row],[''Attention To'' Refence]],Table_ErrorList[[#This Row],[Manual Reference]])&amp;","</f>
        <v>$I$35,</v>
      </c>
      <c r="K145" s="107" t="str">
        <f>SUBSTITUTE(SUBSTITUTE(VLOOKUP(Table_ErrorList[[#This Row],[Attention To Named Range]],Table_NamedRanges[],MATCH(Table_NamedRanges[[#Headers],[Reference Text]],Table_NamedRanges[#Headers],0),FALSE),"=",""),"'Travel Expense Summary'!","")</f>
        <v>$I$35</v>
      </c>
      <c r="L145" s="107"/>
      <c r="M145" s="85" t="s">
        <v>1224</v>
      </c>
      <c r="N145" s="85" t="s">
        <v>1227</v>
      </c>
      <c r="O145" s="85" t="b">
        <v>1</v>
      </c>
      <c r="P145" s="106" t="s">
        <v>1228</v>
      </c>
      <c r="Q145" s="106" t="s">
        <v>1229</v>
      </c>
      <c r="R145"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45" s="85"/>
      <c r="T145" s="107" t="str">
        <f>IF(LEN(Table_ErrorList[[#This Row],[Message Bar Display]])&gt;$U$5,"Too Long, Characters = "&amp;LEN(Table_ErrorList[[#This Row],[Message Bar Display]])," ")</f>
        <v xml:space="preserve"> </v>
      </c>
      <c r="U145" s="107" t="str">
        <f>IF(LEN(Table_ErrorList[[#This Row],[Details Explanation (Line '#1)]])&gt;$U$5,"Too Long, Characters = "&amp;LEN(Table_ErrorList[[#This Row],[Details Explanation (Line '#1)]])," ")</f>
        <v xml:space="preserve"> </v>
      </c>
      <c r="V145" s="107" t="str">
        <f>IF(LEN(Table_ErrorList[[#This Row],[Details Explanation (Line '#2)]])&gt;$U$5,"Too Long, Characters = "&amp;LEN(Table_ErrorList[[#This Row],[Details Explanation (Line '#2)]])," ")</f>
        <v xml:space="preserve"> </v>
      </c>
    </row>
    <row r="146" spans="1:22" ht="33.75" x14ac:dyDescent="0.25">
      <c r="A146" s="107" t="b">
        <f>AND(
OR(Others_Expense09=0,Others_Expense09="",Others_Expense09=Dropdown_NotSelectedValue),
COUNTA(Others_Date09,Others_Desc09, Others_From09, Others_To09, Others_Receipt09, Others_KM09)&gt;0)</f>
        <v>0</v>
      </c>
      <c r="B146" s="107">
        <f ca="1">IFERROR(INDIRECT(Table_ErrorList[[#This Row],[Attention To Named Range]]),"Error")</f>
        <v>0</v>
      </c>
      <c r="C146" s="102">
        <v>1510</v>
      </c>
      <c r="D146" s="102" t="str">
        <f ca="1">IF(Table_ErrorList[[#This Row],[Manual Hierarchy]]="",CONCATENATE(TEXT(Table_ErrorList[[#This Row],[Section '#]],"00"),"-",TEXT(COUNTIF($E146:OFFSET(Table_ErrorList[[#Headers],[Section '#]],1,0,1,1),Table_ErrorList[[#This Row],[Section '#]]),"000")),Table_ErrorList[[#This Row],[Manual Hierarchy]])</f>
        <v>07-075</v>
      </c>
      <c r="E146" s="104">
        <v>7</v>
      </c>
      <c r="F146" s="104" t="str">
        <f>IFERROR(VLOOKUP(Table_ErrorList[[#This Row],[Section '#]],Table_SectionNames[],MATCH(Table_SectionNames[[#Headers],[Name]],Table_SectionNames[#Headers],0),FALSE),"Not found")</f>
        <v>Other Expenses</v>
      </c>
      <c r="G146" s="104"/>
      <c r="H146" s="107" t="str">
        <f>IFERROR(VLOOKUP(Table_ErrorList[[#This Row],[Attention To Named Range]],Table_NamedRanges[],MATCH(Table_NamedRanges[[#Headers],[Reference Type]],Table_NamedRanges[#Headers],0),FALSE),"Error")</f>
        <v>Single Cell</v>
      </c>
      <c r="I146" s="102" t="s">
        <v>610</v>
      </c>
      <c r="J146" s="107" t="str">
        <f>IF(Table_ErrorList[[#This Row],[Manual Reference]]="",Table_ErrorList[[#This Row],[''Attention To'' Refence]],Table_ErrorList[[#This Row],[Manual Reference]])&amp;","</f>
        <v>$K$35,</v>
      </c>
      <c r="K146" s="107" t="str">
        <f>SUBSTITUTE(SUBSTITUTE(VLOOKUP(Table_ErrorList[[#This Row],[Attention To Named Range]],Table_NamedRanges[],MATCH(Table_NamedRanges[[#Headers],[Reference Text]],Table_NamedRanges[#Headers],0),FALSE),"=",""),"'Travel Expense Summary'!","")</f>
        <v>$K$35</v>
      </c>
      <c r="L146" s="107"/>
      <c r="M146" s="85" t="s">
        <v>802</v>
      </c>
      <c r="N146" s="85" t="s">
        <v>809</v>
      </c>
      <c r="O146" s="85" t="b">
        <v>1</v>
      </c>
      <c r="P146" s="106" t="s">
        <v>705</v>
      </c>
      <c r="Q146" s="106" t="s">
        <v>708</v>
      </c>
      <c r="R146"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46" s="85" t="b">
        <v>1</v>
      </c>
      <c r="T146" s="85" t="str">
        <f>IF(LEN(Table_ErrorList[[#This Row],[Message Bar Display]])&gt;$U$5,"Too Long, Characters = "&amp;LEN(Table_ErrorList[[#This Row],[Message Bar Display]])," ")</f>
        <v xml:space="preserve"> </v>
      </c>
      <c r="U146" s="85" t="str">
        <f>IF(LEN(Table_ErrorList[[#This Row],[Details Explanation (Line '#1)]])&gt;$U$5,"Too Long, Characters = "&amp;LEN(Table_ErrorList[[#This Row],[Details Explanation (Line '#1)]])," ")</f>
        <v xml:space="preserve"> </v>
      </c>
      <c r="V146" s="85" t="str">
        <f>IF(LEN(Table_ErrorList[[#This Row],[Details Explanation (Line '#2)]])&gt;$U$5,"Too Long, Characters = "&amp;LEN(Table_ErrorList[[#This Row],[Details Explanation (Line '#2)]])," ")</f>
        <v xml:space="preserve"> </v>
      </c>
    </row>
    <row r="147" spans="1:22" s="32" customFormat="1" ht="30" x14ac:dyDescent="0.25">
      <c r="A147" s="107" t="b">
        <f>IF(AND(ISBLANK(Others_Expense09)=FALSE,Others_Expense09&lt;&gt;Dropdown_NotSelectedValue),IFERROR(NOT(MATCH(Others_Expense09,Dropdown_Expenses,0)&gt;0),TRUE),FALSE)</f>
        <v>0</v>
      </c>
      <c r="B147" s="107">
        <f ca="1">IFERROR(INDIRECT(Table_ErrorList[[#This Row],[Attention To Named Range]]),"Error")</f>
        <v>0</v>
      </c>
      <c r="C147" s="102">
        <v>1511</v>
      </c>
      <c r="D147" s="102" t="str">
        <f ca="1">IF(Table_ErrorList[[#This Row],[Manual Hierarchy]]="",CONCATENATE(TEXT(Table_ErrorList[[#This Row],[Section '#]],"00"),"-",TEXT(COUNTIF($E147:OFFSET(Table_ErrorList[[#Headers],[Section '#]],1,0,1,1),Table_ErrorList[[#This Row],[Section '#]]),"000")),Table_ErrorList[[#This Row],[Manual Hierarchy]])</f>
        <v>07-076</v>
      </c>
      <c r="E147" s="104">
        <v>7</v>
      </c>
      <c r="F147" s="104" t="str">
        <f>IFERROR(VLOOKUP(Table_ErrorList[[#This Row],[Section '#]],Table_SectionNames[],MATCH(Table_SectionNames[[#Headers],[Name]],Table_SectionNames[#Headers],0),FALSE),"Not found")</f>
        <v>Other Expenses</v>
      </c>
      <c r="G147" s="104"/>
      <c r="H147" s="107" t="str">
        <f>IFERROR(VLOOKUP(Table_ErrorList[[#This Row],[Attention To Named Range]],Table_NamedRanges[],MATCH(Table_NamedRanges[[#Headers],[Reference Type]],Table_NamedRanges[#Headers],0),FALSE),"Error")</f>
        <v>Single Cell</v>
      </c>
      <c r="I147" s="102" t="s">
        <v>610</v>
      </c>
      <c r="J147" s="107" t="str">
        <f>IF(Table_ErrorList[[#This Row],[Manual Reference]]="",Table_ErrorList[[#This Row],[''Attention To'' Refence]],Table_ErrorList[[#This Row],[Manual Reference]])&amp;","</f>
        <v>$K$35,</v>
      </c>
      <c r="K147" s="107" t="str">
        <f>SUBSTITUTE(SUBSTITUTE(VLOOKUP(Table_ErrorList[[#This Row],[Attention To Named Range]],Table_NamedRanges[],MATCH(Table_NamedRanges[[#Headers],[Reference Text]],Table_NamedRanges[#Headers],0),FALSE),"=",""),"'Travel Expense Summary'!","")</f>
        <v>$K$35</v>
      </c>
      <c r="L147" s="107"/>
      <c r="M147" s="85" t="s">
        <v>1244</v>
      </c>
      <c r="N147" s="85" t="s">
        <v>1240</v>
      </c>
      <c r="O147" s="85" t="b">
        <v>1</v>
      </c>
      <c r="P147" s="106" t="s">
        <v>1241</v>
      </c>
      <c r="Q147" s="106" t="s">
        <v>1232</v>
      </c>
      <c r="R147"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47" s="85" t="b">
        <v>1</v>
      </c>
      <c r="T147" s="107" t="str">
        <f>IF(LEN(Table_ErrorList[[#This Row],[Message Bar Display]])&gt;$U$5,"Too Long, Characters = "&amp;LEN(Table_ErrorList[[#This Row],[Message Bar Display]])," ")</f>
        <v xml:space="preserve"> </v>
      </c>
      <c r="U147" s="107" t="str">
        <f>IF(LEN(Table_ErrorList[[#This Row],[Details Explanation (Line '#1)]])&gt;$U$5,"Too Long, Characters = "&amp;LEN(Table_ErrorList[[#This Row],[Details Explanation (Line '#1)]])," ")</f>
        <v xml:space="preserve"> </v>
      </c>
      <c r="V147" s="107" t="str">
        <f>IF(LEN(Table_ErrorList[[#This Row],[Details Explanation (Line '#2)]])&gt;$U$5,"Too Long, Characters = "&amp;LEN(Table_ErrorList[[#This Row],[Details Explanation (Line '#2)]])," ")</f>
        <v xml:space="preserve"> </v>
      </c>
    </row>
    <row r="148" spans="1:22" ht="30" x14ac:dyDescent="0.25">
      <c r="A148" s="107" t="e">
        <f>AND(
VLOOKUP(Others_Expense09,Table_Expenses[],MATCH(Table_Expenses[[#Headers],[DescriptionRequired]],Table_Expenses[#Headers],0),FALSE),
OR(Others_Desc09=0,Others_Desc09="",Others_Desc09=Dropdown_NotSelectedValue),
COUNTA(Others_Date09,Others_Expense09,, Others_From09, Others_To09, Others_Receipt09, Others_KM09)&gt;0)</f>
        <v>#N/A</v>
      </c>
      <c r="B148" s="107">
        <f ca="1">IFERROR(INDIRECT(Table_ErrorList[[#This Row],[Attention To Named Range]]),"Error")</f>
        <v>0</v>
      </c>
      <c r="C148" s="102">
        <v>1520</v>
      </c>
      <c r="D148" s="102" t="str">
        <f ca="1">IF(Table_ErrorList[[#This Row],[Manual Hierarchy]]="",CONCATENATE(TEXT(Table_ErrorList[[#This Row],[Section '#]],"00"),"-",TEXT(COUNTIF($E148:OFFSET(Table_ErrorList[[#Headers],[Section '#]],1,0,1,1),Table_ErrorList[[#This Row],[Section '#]]),"000")),Table_ErrorList[[#This Row],[Manual Hierarchy]])</f>
        <v>07-077</v>
      </c>
      <c r="E148" s="104">
        <v>7</v>
      </c>
      <c r="F148" s="104" t="str">
        <f>IFERROR(VLOOKUP(Table_ErrorList[[#This Row],[Section '#]],Table_SectionNames[],MATCH(Table_SectionNames[[#Headers],[Name]],Table_SectionNames[#Headers],0),FALSE),"Not found")</f>
        <v>Other Expenses</v>
      </c>
      <c r="G148" s="104"/>
      <c r="H148" s="107" t="str">
        <f>IFERROR(VLOOKUP(Table_ErrorList[[#This Row],[Attention To Named Range]],Table_NamedRanges[],MATCH(Table_NamedRanges[[#Headers],[Reference Type]],Table_NamedRanges[#Headers],0),FALSE),"Error")</f>
        <v>Single Cell</v>
      </c>
      <c r="I148" s="102" t="s">
        <v>589</v>
      </c>
      <c r="J148" s="107" t="str">
        <f>IF(Table_ErrorList[[#This Row],[Manual Reference]]="",Table_ErrorList[[#This Row],[''Attention To'' Refence]],Table_ErrorList[[#This Row],[Manual Reference]])&amp;","</f>
        <v>$M$35,</v>
      </c>
      <c r="K148" s="107" t="str">
        <f>SUBSTITUTE(SUBSTITUTE(VLOOKUP(Table_ErrorList[[#This Row],[Attention To Named Range]],Table_NamedRanges[],MATCH(Table_NamedRanges[[#Headers],[Reference Text]],Table_NamedRanges[#Headers],0),FALSE),"=",""),"'Travel Expense Summary'!","")</f>
        <v>$M$35</v>
      </c>
      <c r="L148" s="107"/>
      <c r="M148" s="85" t="s">
        <v>803</v>
      </c>
      <c r="N148" s="85" t="s">
        <v>810</v>
      </c>
      <c r="O148" s="85" t="b">
        <v>1</v>
      </c>
      <c r="P148" s="106" t="s">
        <v>894</v>
      </c>
      <c r="Q148" s="106" t="s">
        <v>979</v>
      </c>
      <c r="R148"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48" s="85" t="b">
        <v>1</v>
      </c>
      <c r="T148" s="85" t="str">
        <f>IF(LEN(Table_ErrorList[[#This Row],[Message Bar Display]])&gt;$U$5,"Too Long, Characters = "&amp;LEN(Table_ErrorList[[#This Row],[Message Bar Display]])," ")</f>
        <v xml:space="preserve"> </v>
      </c>
      <c r="U148" s="85" t="str">
        <f>IF(LEN(Table_ErrorList[[#This Row],[Details Explanation (Line '#1)]])&gt;$U$5,"Too Long, Characters = "&amp;LEN(Table_ErrorList[[#This Row],[Details Explanation (Line '#1)]])," ")</f>
        <v xml:space="preserve"> </v>
      </c>
      <c r="V148" s="85" t="str">
        <f>IF(LEN(Table_ErrorList[[#This Row],[Details Explanation (Line '#2)]])&gt;$U$5,"Too Long, Characters = "&amp;LEN(Table_ErrorList[[#This Row],[Details Explanation (Line '#2)]])," ")</f>
        <v xml:space="preserve"> </v>
      </c>
    </row>
    <row r="149" spans="1:22" ht="30" x14ac:dyDescent="0.25">
      <c r="A149" s="107" t="e">
        <f>AND(
VLOOKUP(Others_Expense09,Table_Expenses[],MATCH(Table_Expenses[[#Headers],[FromRequired]],Table_Expenses[#Headers],0),FALSE),
OR(Others_From09=0,Others_From09="",Others_From09=Dropdown_NotSelectedValue),
COUNTA(Others_Date09,Others_Expense09,Others_Desc09, Others_To09, Others_Receipt09, Others_KM09)&gt;0)</f>
        <v>#N/A</v>
      </c>
      <c r="B149" s="107">
        <f ca="1">IFERROR(INDIRECT(Table_ErrorList[[#This Row],[Attention To Named Range]]),"Error")</f>
        <v>0</v>
      </c>
      <c r="C149" s="102">
        <v>1530</v>
      </c>
      <c r="D149" s="102" t="str">
        <f ca="1">IF(Table_ErrorList[[#This Row],[Manual Hierarchy]]="",CONCATENATE(TEXT(Table_ErrorList[[#This Row],[Section '#]],"00"),"-",TEXT(COUNTIF($E149:OFFSET(Table_ErrorList[[#Headers],[Section '#]],1,0,1,1),Table_ErrorList[[#This Row],[Section '#]]),"000")),Table_ErrorList[[#This Row],[Manual Hierarchy]])</f>
        <v>07-078</v>
      </c>
      <c r="E149" s="104">
        <v>7</v>
      </c>
      <c r="F149" s="104" t="str">
        <f>IFERROR(VLOOKUP(Table_ErrorList[[#This Row],[Section '#]],Table_SectionNames[],MATCH(Table_SectionNames[[#Headers],[Name]],Table_SectionNames[#Headers],0),FALSE),"Not found")</f>
        <v>Other Expenses</v>
      </c>
      <c r="G149" s="104"/>
      <c r="H149" s="107" t="str">
        <f>IFERROR(VLOOKUP(Table_ErrorList[[#This Row],[Attention To Named Range]],Table_NamedRanges[],MATCH(Table_NamedRanges[[#Headers],[Reference Type]],Table_NamedRanges[#Headers],0),FALSE),"Error")</f>
        <v>Single Cell</v>
      </c>
      <c r="I149" s="102" t="s">
        <v>632</v>
      </c>
      <c r="J149" s="107" t="str">
        <f>IF(Table_ErrorList[[#This Row],[Manual Reference]]="",Table_ErrorList[[#This Row],[''Attention To'' Refence]],Table_ErrorList[[#This Row],[Manual Reference]])&amp;","</f>
        <v>$R$35,</v>
      </c>
      <c r="K149" s="107" t="str">
        <f>SUBSTITUTE(SUBSTITUTE(VLOOKUP(Table_ErrorList[[#This Row],[Attention To Named Range]],Table_NamedRanges[],MATCH(Table_NamedRanges[[#Headers],[Reference Text]],Table_NamedRanges[#Headers],0),FALSE),"=",""),"'Travel Expense Summary'!","")</f>
        <v>$R$35</v>
      </c>
      <c r="L149" s="107"/>
      <c r="M149" s="85" t="s">
        <v>804</v>
      </c>
      <c r="N149" s="85" t="s">
        <v>992</v>
      </c>
      <c r="O149" s="85" t="b">
        <v>1</v>
      </c>
      <c r="P149" s="106" t="s">
        <v>980</v>
      </c>
      <c r="Q149" s="106" t="s">
        <v>981</v>
      </c>
      <c r="R149"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9" s="85" t="b">
        <v>1</v>
      </c>
      <c r="T149" s="85" t="str">
        <f>IF(LEN(Table_ErrorList[[#This Row],[Message Bar Display]])&gt;$U$5,"Too Long, Characters = "&amp;LEN(Table_ErrorList[[#This Row],[Message Bar Display]])," ")</f>
        <v xml:space="preserve"> </v>
      </c>
      <c r="U149" s="85" t="str">
        <f>IF(LEN(Table_ErrorList[[#This Row],[Details Explanation (Line '#1)]])&gt;$U$5,"Too Long, Characters = "&amp;LEN(Table_ErrorList[[#This Row],[Details Explanation (Line '#1)]])," ")</f>
        <v xml:space="preserve"> </v>
      </c>
      <c r="V149" s="85" t="str">
        <f>IF(LEN(Table_ErrorList[[#This Row],[Details Explanation (Line '#2)]])&gt;$U$5,"Too Long, Characters = "&amp;LEN(Table_ErrorList[[#This Row],[Details Explanation (Line '#2)]])," ")</f>
        <v xml:space="preserve"> </v>
      </c>
    </row>
    <row r="150" spans="1:22" ht="30" x14ac:dyDescent="0.25">
      <c r="A150" s="107" t="e">
        <f>AND(
VLOOKUP(Others_Expense09,Table_Expenses[],MATCH(Table_Expenses[[#Headers],[ToRequired]],Table_Expenses[#Headers],0),FALSE),
OR(Others_To09=0,Others_To09="",Others_To09=Dropdown_NotSelectedValue),
COUNTA(Others_Date09,Others_Expense09,Others_Desc09, Others_From09, Others_Receipt09, Others_KM09)&gt;0)</f>
        <v>#N/A</v>
      </c>
      <c r="B150" s="107">
        <f ca="1">IFERROR(INDIRECT(Table_ErrorList[[#This Row],[Attention To Named Range]]),"Error")</f>
        <v>0</v>
      </c>
      <c r="C150" s="102">
        <v>1540</v>
      </c>
      <c r="D150" s="102" t="str">
        <f ca="1">IF(Table_ErrorList[[#This Row],[Manual Hierarchy]]="",CONCATENATE(TEXT(Table_ErrorList[[#This Row],[Section '#]],"00"),"-",TEXT(COUNTIF($E150:OFFSET(Table_ErrorList[[#Headers],[Section '#]],1,0,1,1),Table_ErrorList[[#This Row],[Section '#]]),"000")),Table_ErrorList[[#This Row],[Manual Hierarchy]])</f>
        <v>07-079</v>
      </c>
      <c r="E150" s="104">
        <v>7</v>
      </c>
      <c r="F150" s="104" t="str">
        <f>IFERROR(VLOOKUP(Table_ErrorList[[#This Row],[Section '#]],Table_SectionNames[],MATCH(Table_SectionNames[[#Headers],[Name]],Table_SectionNames[#Headers],0),FALSE),"Not found")</f>
        <v>Other Expenses</v>
      </c>
      <c r="G150" s="104"/>
      <c r="H150" s="107" t="str">
        <f>IFERROR(VLOOKUP(Table_ErrorList[[#This Row],[Attention To Named Range]],Table_NamedRanges[],MATCH(Table_NamedRanges[[#Headers],[Reference Type]],Table_NamedRanges[#Headers],0),FALSE),"Error")</f>
        <v>Single Cell</v>
      </c>
      <c r="I150" s="102" t="s">
        <v>698</v>
      </c>
      <c r="J150" s="107" t="str">
        <f>IF(Table_ErrorList[[#This Row],[Manual Reference]]="",Table_ErrorList[[#This Row],[''Attention To'' Refence]],Table_ErrorList[[#This Row],[Manual Reference]])&amp;","</f>
        <v>$T$35,</v>
      </c>
      <c r="K150" s="107" t="str">
        <f>SUBSTITUTE(SUBSTITUTE(VLOOKUP(Table_ErrorList[[#This Row],[Attention To Named Range]],Table_NamedRanges[],MATCH(Table_NamedRanges[[#Headers],[Reference Text]],Table_NamedRanges[#Headers],0),FALSE),"=",""),"'Travel Expense Summary'!","")</f>
        <v>$T$35</v>
      </c>
      <c r="L150" s="107"/>
      <c r="M150" s="85" t="s">
        <v>805</v>
      </c>
      <c r="N150" s="85" t="s">
        <v>1002</v>
      </c>
      <c r="O150" s="85" t="b">
        <v>1</v>
      </c>
      <c r="P150" s="106" t="s">
        <v>983</v>
      </c>
      <c r="Q150" s="106" t="s">
        <v>981</v>
      </c>
      <c r="R150"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0" s="85" t="b">
        <v>1</v>
      </c>
      <c r="T150" s="85" t="str">
        <f>IF(LEN(Table_ErrorList[[#This Row],[Message Bar Display]])&gt;$U$5,"Too Long, Characters = "&amp;LEN(Table_ErrorList[[#This Row],[Message Bar Display]])," ")</f>
        <v xml:space="preserve"> </v>
      </c>
      <c r="U150" s="85" t="str">
        <f>IF(LEN(Table_ErrorList[[#This Row],[Details Explanation (Line '#1)]])&gt;$U$5,"Too Long, Characters = "&amp;LEN(Table_ErrorList[[#This Row],[Details Explanation (Line '#1)]])," ")</f>
        <v xml:space="preserve"> </v>
      </c>
      <c r="V150" s="85" t="str">
        <f>IF(LEN(Table_ErrorList[[#This Row],[Details Explanation (Line '#2)]])&gt;$U$5,"Too Long, Characters = "&amp;LEN(Table_ErrorList[[#This Row],[Details Explanation (Line '#2)]])," ")</f>
        <v xml:space="preserve"> </v>
      </c>
    </row>
    <row r="151" spans="1:22" ht="33.75" x14ac:dyDescent="0.25">
      <c r="A151" s="107" t="e">
        <f>AND(
VLOOKUP(Others_Expense09,Table_Expenses[],MATCH(Table_Expenses[[#Headers],[ReceiptRequired]],Table_Expenses[#Headers],0),FALSE),
OR(Others_Receipt09=0,Others_Receipt09="",Others_Receipt09=Dropdown_NotSelectedValue),
COUNTA(Others_Date09,Others_Expense09,Others_Desc09, Others_From09, Others_To09, Others_KM09)&gt;0)</f>
        <v>#N/A</v>
      </c>
      <c r="B151" s="107">
        <f ca="1">IFERROR(INDIRECT(Table_ErrorList[[#This Row],[Attention To Named Range]]),"Error")</f>
        <v>0</v>
      </c>
      <c r="C151" s="102">
        <v>1550</v>
      </c>
      <c r="D151" s="102" t="str">
        <f ca="1">IF(Table_ErrorList[[#This Row],[Manual Hierarchy]]="",CONCATENATE(TEXT(Table_ErrorList[[#This Row],[Section '#]],"00"),"-",TEXT(COUNTIF($E151:OFFSET(Table_ErrorList[[#Headers],[Section '#]],1,0,1,1),Table_ErrorList[[#This Row],[Section '#]]),"000")),Table_ErrorList[[#This Row],[Manual Hierarchy]])</f>
        <v>07-080</v>
      </c>
      <c r="E151" s="104">
        <v>7</v>
      </c>
      <c r="F151" s="104" t="str">
        <f>IFERROR(VLOOKUP(Table_ErrorList[[#This Row],[Section '#]],Table_SectionNames[],MATCH(Table_SectionNames[[#Headers],[Name]],Table_SectionNames[#Headers],0),FALSE),"Not found")</f>
        <v>Other Expenses</v>
      </c>
      <c r="G151" s="104"/>
      <c r="H151" s="107" t="str">
        <f>IFERROR(VLOOKUP(Table_ErrorList[[#This Row],[Attention To Named Range]],Table_NamedRanges[],MATCH(Table_NamedRanges[[#Headers],[Reference Type]],Table_NamedRanges[#Headers],0),FALSE),"Error")</f>
        <v>Single Cell</v>
      </c>
      <c r="I151" s="102" t="s">
        <v>676</v>
      </c>
      <c r="J151" s="107" t="str">
        <f>IF(Table_ErrorList[[#This Row],[Manual Reference]]="",Table_ErrorList[[#This Row],[''Attention To'' Refence]],Table_ErrorList[[#This Row],[Manual Reference]])&amp;","</f>
        <v>$X$35,</v>
      </c>
      <c r="K151" s="107" t="str">
        <f>SUBSTITUTE(SUBSTITUTE(VLOOKUP(Table_ErrorList[[#This Row],[Attention To Named Range]],Table_NamedRanges[],MATCH(Table_NamedRanges[[#Headers],[Reference Text]],Table_NamedRanges[#Headers],0),FALSE),"=",""),"'Travel Expense Summary'!","")</f>
        <v>$X$35</v>
      </c>
      <c r="L151" s="107"/>
      <c r="M151" s="85" t="s">
        <v>806</v>
      </c>
      <c r="N151" s="85" t="s">
        <v>811</v>
      </c>
      <c r="O151" s="85" t="b">
        <v>1</v>
      </c>
      <c r="P151" s="106" t="s">
        <v>1079</v>
      </c>
      <c r="Q151" s="106" t="s">
        <v>728</v>
      </c>
      <c r="R151"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51" s="85" t="b">
        <v>1</v>
      </c>
      <c r="T151" s="85" t="str">
        <f>IF(LEN(Table_ErrorList[[#This Row],[Message Bar Display]])&gt;$U$5,"Too Long, Characters = "&amp;LEN(Table_ErrorList[[#This Row],[Message Bar Display]])," ")</f>
        <v xml:space="preserve"> </v>
      </c>
      <c r="U151" s="85" t="str">
        <f>IF(LEN(Table_ErrorList[[#This Row],[Details Explanation (Line '#1)]])&gt;$U$5,"Too Long, Characters = "&amp;LEN(Table_ErrorList[[#This Row],[Details Explanation (Line '#1)]])," ")</f>
        <v xml:space="preserve"> </v>
      </c>
      <c r="V151" s="85" t="str">
        <f>IF(LEN(Table_ErrorList[[#This Row],[Details Explanation (Line '#2)]])&gt;$U$5,"Too Long, Characters = "&amp;LEN(Table_ErrorList[[#This Row],[Details Explanation (Line '#2)]])," ")</f>
        <v xml:space="preserve"> </v>
      </c>
    </row>
    <row r="152" spans="1:22" ht="45" x14ac:dyDescent="0.25">
      <c r="A152" s="107" t="e">
        <f>AND(
VLOOKUP(Others_Expense09,Table_Expenses[],MATCH(Table_Expenses[[#Headers],[KMRequired]],Table_Expenses[#Headers],0),FALSE),
OR(Others_KM09=0,Others_KM09="",Others_KM09=Dropdown_NotSelectedValue),
COUNTA(Others_Date09,Others_Expense09,Others_Desc09, Others_From09, Others_To09, Others_Receipt09)&gt;0)</f>
        <v>#N/A</v>
      </c>
      <c r="B152" s="107">
        <f ca="1">IFERROR(INDIRECT(Table_ErrorList[[#This Row],[Attention To Named Range]]),"Error")</f>
        <v>0</v>
      </c>
      <c r="C152" s="102">
        <v>1560</v>
      </c>
      <c r="D152" s="102" t="str">
        <f ca="1">IF(Table_ErrorList[[#This Row],[Manual Hierarchy]]="",CONCATENATE(TEXT(Table_ErrorList[[#This Row],[Section '#]],"00"),"-",TEXT(COUNTIF($E152:OFFSET(Table_ErrorList[[#Headers],[Section '#]],1,0,1,1),Table_ErrorList[[#This Row],[Section '#]]),"000")),Table_ErrorList[[#This Row],[Manual Hierarchy]])</f>
        <v>07-081</v>
      </c>
      <c r="E152" s="104">
        <v>7</v>
      </c>
      <c r="F152" s="104" t="str">
        <f>IFERROR(VLOOKUP(Table_ErrorList[[#This Row],[Section '#]],Table_SectionNames[],MATCH(Table_SectionNames[[#Headers],[Name]],Table_SectionNames[#Headers],0),FALSE),"Not found")</f>
        <v>Other Expenses</v>
      </c>
      <c r="G152" s="104"/>
      <c r="H152" s="107" t="str">
        <f>IFERROR(VLOOKUP(Table_ErrorList[[#This Row],[Attention To Named Range]],Table_NamedRanges[],MATCH(Table_NamedRanges[[#Headers],[Reference Type]],Table_NamedRanges[#Headers],0),FALSE),"Error")</f>
        <v>Single Cell</v>
      </c>
      <c r="I152" s="102" t="s">
        <v>654</v>
      </c>
      <c r="J152" s="107" t="str">
        <f>IF(Table_ErrorList[[#This Row],[Manual Reference]]="",Table_ErrorList[[#This Row],[''Attention To'' Refence]],Table_ErrorList[[#This Row],[Manual Reference]])&amp;","</f>
        <v>$Y$35,</v>
      </c>
      <c r="K152" s="107" t="str">
        <f>SUBSTITUTE(SUBSTITUTE(VLOOKUP(Table_ErrorList[[#This Row],[Attention To Named Range]],Table_NamedRanges[],MATCH(Table_NamedRanges[[#Headers],[Reference Text]],Table_NamedRanges[#Headers],0),FALSE),"=",""),"'Travel Expense Summary'!","")</f>
        <v>$Y$35</v>
      </c>
      <c r="L152" s="107"/>
      <c r="M152" s="85" t="s">
        <v>807</v>
      </c>
      <c r="N152" s="85" t="s">
        <v>812</v>
      </c>
      <c r="O152" s="85" t="b">
        <v>1</v>
      </c>
      <c r="P152" s="106" t="s">
        <v>892</v>
      </c>
      <c r="Q152" s="106" t="s">
        <v>893</v>
      </c>
      <c r="R152"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52" s="85" t="b">
        <v>1</v>
      </c>
      <c r="T152" s="85" t="str">
        <f>IF(LEN(Table_ErrorList[[#This Row],[Message Bar Display]])&gt;$U$5,"Too Long, Characters = "&amp;LEN(Table_ErrorList[[#This Row],[Message Bar Display]])," ")</f>
        <v xml:space="preserve"> </v>
      </c>
      <c r="U152" s="85" t="str">
        <f>IF(LEN(Table_ErrorList[[#This Row],[Details Explanation (Line '#1)]])&gt;$U$5,"Too Long, Characters = "&amp;LEN(Table_ErrorList[[#This Row],[Details Explanation (Line '#1)]])," ")</f>
        <v xml:space="preserve"> </v>
      </c>
      <c r="V152" s="85" t="str">
        <f>IF(LEN(Table_ErrorList[[#This Row],[Details Explanation (Line '#2)]])&gt;$U$5,"Too Long, Characters = "&amp;LEN(Table_ErrorList[[#This Row],[Details Explanation (Line '#2)]])," ")</f>
        <v xml:space="preserve"> </v>
      </c>
    </row>
    <row r="153" spans="1:22" ht="30" x14ac:dyDescent="0.25">
      <c r="A153" s="107" t="b">
        <f>AND(
OR(Others_Date10=0,Others_Date10="",Others_Date10=Dropdown_NotSelectedValue),
COUNTA(Others_Expense10,Others_Desc10, Others_From10, Others_To10, Others_Receipt10, Others_KM10)&gt;0)</f>
        <v>0</v>
      </c>
      <c r="B153" s="107">
        <f ca="1">IFERROR(INDIRECT(Table_ErrorList[[#This Row],[Attention To Named Range]]),"Error")</f>
        <v>0</v>
      </c>
      <c r="C153" s="102">
        <v>1600</v>
      </c>
      <c r="D153" s="102" t="str">
        <f ca="1">IF(Table_ErrorList[[#This Row],[Manual Hierarchy]]="",CONCATENATE(TEXT(Table_ErrorList[[#This Row],[Section '#]],"00"),"-",TEXT(COUNTIF($E153:OFFSET(Table_ErrorList[[#Headers],[Section '#]],1,0,1,1),Table_ErrorList[[#This Row],[Section '#]]),"000")),Table_ErrorList[[#This Row],[Manual Hierarchy]])</f>
        <v>07-082</v>
      </c>
      <c r="E153" s="104">
        <v>7</v>
      </c>
      <c r="F153" s="104" t="str">
        <f>IFERROR(VLOOKUP(Table_ErrorList[[#This Row],[Section '#]],Table_SectionNames[],MATCH(Table_SectionNames[[#Headers],[Name]],Table_SectionNames[#Headers],0),FALSE),"Not found")</f>
        <v>Other Expenses</v>
      </c>
      <c r="G153" s="104"/>
      <c r="H153" s="107" t="str">
        <f>IFERROR(VLOOKUP(Table_ErrorList[[#This Row],[Attention To Named Range]],Table_NamedRanges[],MATCH(Table_NamedRanges[[#Headers],[Reference Type]],Table_NamedRanges[#Headers],0),FALSE),"Error")</f>
        <v>Single Cell</v>
      </c>
      <c r="I153" s="102" t="s">
        <v>535</v>
      </c>
      <c r="J153" s="107" t="str">
        <f>IF(Table_ErrorList[[#This Row],[Manual Reference]]="",Table_ErrorList[[#This Row],[''Attention To'' Refence]],Table_ErrorList[[#This Row],[Manual Reference]])&amp;","</f>
        <v>$I$36,</v>
      </c>
      <c r="K153" s="107" t="str">
        <f>SUBSTITUTE(SUBSTITUTE(VLOOKUP(Table_ErrorList[[#This Row],[Attention To Named Range]],Table_NamedRanges[],MATCH(Table_NamedRanges[[#Headers],[Reference Text]],Table_NamedRanges[#Headers],0),FALSE),"=",""),"'Travel Expense Summary'!","")</f>
        <v>$I$36</v>
      </c>
      <c r="L153" s="107"/>
      <c r="M153" s="85" t="s">
        <v>814</v>
      </c>
      <c r="N153" s="85" t="s">
        <v>821</v>
      </c>
      <c r="O153" s="85" t="b">
        <v>1</v>
      </c>
      <c r="P153" s="106" t="s">
        <v>260</v>
      </c>
      <c r="Q153" s="106" t="s">
        <v>261</v>
      </c>
      <c r="R153"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53" s="85" t="b">
        <v>1</v>
      </c>
      <c r="T153" s="85" t="str">
        <f>IF(LEN(Table_ErrorList[[#This Row],[Message Bar Display]])&gt;$U$5,"Too Long, Characters = "&amp;LEN(Table_ErrorList[[#This Row],[Message Bar Display]])," ")</f>
        <v xml:space="preserve"> </v>
      </c>
      <c r="U153" s="85" t="str">
        <f>IF(LEN(Table_ErrorList[[#This Row],[Details Explanation (Line '#1)]])&gt;$U$5,"Too Long, Characters = "&amp;LEN(Table_ErrorList[[#This Row],[Details Explanation (Line '#1)]])," ")</f>
        <v xml:space="preserve"> </v>
      </c>
      <c r="V153" s="85" t="str">
        <f>IF(LEN(Table_ErrorList[[#This Row],[Details Explanation (Line '#2)]])&gt;$U$5,"Too Long, Characters = "&amp;LEN(Table_ErrorList[[#This Row],[Details Explanation (Line '#2)]])," ")</f>
        <v xml:space="preserve"> </v>
      </c>
    </row>
    <row r="154" spans="1:22" s="32" customFormat="1" ht="30" x14ac:dyDescent="0.25">
      <c r="A154" s="107" t="b">
        <f>IF(Others_Date10&gt;0,NOT(AND(Field15_TravelStartDate&lt;=Others_Date10,Field16_TravelEndDate&gt;=Others_Date10)),FALSE)</f>
        <v>0</v>
      </c>
      <c r="B154" s="107">
        <f ca="1">IFERROR(INDIRECT(Table_ErrorList[[#This Row],[Attention To Named Range]]),"Error")</f>
        <v>0</v>
      </c>
      <c r="C154" s="102">
        <v>1601</v>
      </c>
      <c r="D154" s="102" t="str">
        <f ca="1">IF(Table_ErrorList[[#This Row],[Manual Hierarchy]]="",CONCATENATE(TEXT(Table_ErrorList[[#This Row],[Section '#]],"00"),"-",TEXT(COUNTIF($E154:OFFSET(Table_ErrorList[[#Headers],[Section '#]],1,0,1,1),Table_ErrorList[[#This Row],[Section '#]]),"000")),Table_ErrorList[[#This Row],[Manual Hierarchy]])</f>
        <v>07-083</v>
      </c>
      <c r="E154" s="104">
        <v>7</v>
      </c>
      <c r="F154" s="104" t="str">
        <f>IFERROR(VLOOKUP(Table_ErrorList[[#This Row],[Section '#]],Table_SectionNames[],MATCH(Table_SectionNames[[#Headers],[Name]],Table_SectionNames[#Headers],0),FALSE),"Not found")</f>
        <v>Other Expenses</v>
      </c>
      <c r="G154" s="104"/>
      <c r="H154" s="107" t="str">
        <f>IFERROR(VLOOKUP(Table_ErrorList[[#This Row],[Attention To Named Range]],Table_NamedRanges[],MATCH(Table_NamedRanges[[#Headers],[Reference Type]],Table_NamedRanges[#Headers],0),FALSE),"Error")</f>
        <v>Single Cell</v>
      </c>
      <c r="I154" s="102" t="s">
        <v>535</v>
      </c>
      <c r="J154" s="107" t="str">
        <f>IF(Table_ErrorList[[#This Row],[Manual Reference]]="",Table_ErrorList[[#This Row],[''Attention To'' Refence]],Table_ErrorList[[#This Row],[Manual Reference]])&amp;","</f>
        <v>$I$36,</v>
      </c>
      <c r="K154" s="107" t="str">
        <f>SUBSTITUTE(SUBSTITUTE(VLOOKUP(Table_ErrorList[[#This Row],[Attention To Named Range]],Table_NamedRanges[],MATCH(Table_NamedRanges[[#Headers],[Reference Text]],Table_NamedRanges[#Headers],0),FALSE),"=",""),"'Travel Expense Summary'!","")</f>
        <v>$I$36</v>
      </c>
      <c r="L154" s="107"/>
      <c r="M154" s="85" t="s">
        <v>1225</v>
      </c>
      <c r="N154" s="85" t="s">
        <v>1227</v>
      </c>
      <c r="O154" s="85" t="b">
        <v>1</v>
      </c>
      <c r="P154" s="106" t="s">
        <v>1228</v>
      </c>
      <c r="Q154" s="106" t="s">
        <v>1229</v>
      </c>
      <c r="R154"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54" s="85"/>
      <c r="T154" s="107" t="str">
        <f>IF(LEN(Table_ErrorList[[#This Row],[Message Bar Display]])&gt;$U$5,"Too Long, Characters = "&amp;LEN(Table_ErrorList[[#This Row],[Message Bar Display]])," ")</f>
        <v xml:space="preserve"> </v>
      </c>
      <c r="U154" s="107" t="str">
        <f>IF(LEN(Table_ErrorList[[#This Row],[Details Explanation (Line '#1)]])&gt;$U$5,"Too Long, Characters = "&amp;LEN(Table_ErrorList[[#This Row],[Details Explanation (Line '#1)]])," ")</f>
        <v xml:space="preserve"> </v>
      </c>
      <c r="V154" s="107" t="str">
        <f>IF(LEN(Table_ErrorList[[#This Row],[Details Explanation (Line '#2)]])&gt;$U$5,"Too Long, Characters = "&amp;LEN(Table_ErrorList[[#This Row],[Details Explanation (Line '#2)]])," ")</f>
        <v xml:space="preserve"> </v>
      </c>
    </row>
    <row r="155" spans="1:22" ht="33.75" x14ac:dyDescent="0.25">
      <c r="A155" s="107" t="b">
        <f>AND(
OR(Others_Expense10=0,Others_Expense10="",Others_Expense10=Dropdown_NotSelectedValue),
COUNTA(Others_Date10,Others_Desc10, Others_From10, Others_To10, Others_Receipt10, Others_KM10)&gt;0)</f>
        <v>0</v>
      </c>
      <c r="B155" s="107">
        <f ca="1">IFERROR(INDIRECT(Table_ErrorList[[#This Row],[Attention To Named Range]]),"Error")</f>
        <v>0</v>
      </c>
      <c r="C155" s="102">
        <v>1610</v>
      </c>
      <c r="D155" s="102" t="str">
        <f ca="1">IF(Table_ErrorList[[#This Row],[Manual Hierarchy]]="",CONCATENATE(TEXT(Table_ErrorList[[#This Row],[Section '#]],"00"),"-",TEXT(COUNTIF($E155:OFFSET(Table_ErrorList[[#Headers],[Section '#]],1,0,1,1),Table_ErrorList[[#This Row],[Section '#]]),"000")),Table_ErrorList[[#This Row],[Manual Hierarchy]])</f>
        <v>07-084</v>
      </c>
      <c r="E155" s="104">
        <v>7</v>
      </c>
      <c r="F155" s="104" t="str">
        <f>IFERROR(VLOOKUP(Table_ErrorList[[#This Row],[Section '#]],Table_SectionNames[],MATCH(Table_SectionNames[[#Headers],[Name]],Table_SectionNames[#Headers],0),FALSE),"Not found")</f>
        <v>Other Expenses</v>
      </c>
      <c r="G155" s="104"/>
      <c r="H155" s="107" t="str">
        <f>IFERROR(VLOOKUP(Table_ErrorList[[#This Row],[Attention To Named Range]],Table_NamedRanges[],MATCH(Table_NamedRanges[[#Headers],[Reference Type]],Table_NamedRanges[#Headers],0),FALSE),"Error")</f>
        <v>Single Cell</v>
      </c>
      <c r="I155" s="102" t="s">
        <v>612</v>
      </c>
      <c r="J155" s="107" t="str">
        <f>IF(Table_ErrorList[[#This Row],[Manual Reference]]="",Table_ErrorList[[#This Row],[''Attention To'' Refence]],Table_ErrorList[[#This Row],[Manual Reference]])&amp;","</f>
        <v>$K$36,</v>
      </c>
      <c r="K155" s="107" t="str">
        <f>SUBSTITUTE(SUBSTITUTE(VLOOKUP(Table_ErrorList[[#This Row],[Attention To Named Range]],Table_NamedRanges[],MATCH(Table_NamedRanges[[#Headers],[Reference Text]],Table_NamedRanges[#Headers],0),FALSE),"=",""),"'Travel Expense Summary'!","")</f>
        <v>$K$36</v>
      </c>
      <c r="L155" s="107"/>
      <c r="M155" s="85" t="s">
        <v>815</v>
      </c>
      <c r="N155" s="85" t="s">
        <v>822</v>
      </c>
      <c r="O155" s="85" t="b">
        <v>1</v>
      </c>
      <c r="P155" s="106" t="s">
        <v>705</v>
      </c>
      <c r="Q155" s="106" t="s">
        <v>708</v>
      </c>
      <c r="R155"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55" s="85" t="b">
        <v>1</v>
      </c>
      <c r="T155" s="85" t="str">
        <f>IF(LEN(Table_ErrorList[[#This Row],[Message Bar Display]])&gt;$U$5,"Too Long, Characters = "&amp;LEN(Table_ErrorList[[#This Row],[Message Bar Display]])," ")</f>
        <v xml:space="preserve"> </v>
      </c>
      <c r="U155" s="85" t="str">
        <f>IF(LEN(Table_ErrorList[[#This Row],[Details Explanation (Line '#1)]])&gt;$U$5,"Too Long, Characters = "&amp;LEN(Table_ErrorList[[#This Row],[Details Explanation (Line '#1)]])," ")</f>
        <v xml:space="preserve"> </v>
      </c>
      <c r="V155" s="85" t="str">
        <f>IF(LEN(Table_ErrorList[[#This Row],[Details Explanation (Line '#2)]])&gt;$U$5,"Too Long, Characters = "&amp;LEN(Table_ErrorList[[#This Row],[Details Explanation (Line '#2)]])," ")</f>
        <v xml:space="preserve"> </v>
      </c>
    </row>
    <row r="156" spans="1:22" s="32" customFormat="1" ht="30" x14ac:dyDescent="0.25">
      <c r="A156" s="107" t="b">
        <f>IF(AND(ISBLANK(Others_Expense10)=FALSE,Others_Expense10&lt;&gt;Dropdown_NotSelectedValue),IFERROR(NOT(MATCH(Others_Expense10,Dropdown_Expenses,0)&gt;0),TRUE),FALSE)</f>
        <v>0</v>
      </c>
      <c r="B156" s="107">
        <f ca="1">IFERROR(INDIRECT(Table_ErrorList[[#This Row],[Attention To Named Range]]),"Error")</f>
        <v>0</v>
      </c>
      <c r="C156" s="102">
        <v>1611</v>
      </c>
      <c r="D156" s="102" t="str">
        <f ca="1">IF(Table_ErrorList[[#This Row],[Manual Hierarchy]]="",CONCATENATE(TEXT(Table_ErrorList[[#This Row],[Section '#]],"00"),"-",TEXT(COUNTIF($E156:OFFSET(Table_ErrorList[[#Headers],[Section '#]],1,0,1,1),Table_ErrorList[[#This Row],[Section '#]]),"000")),Table_ErrorList[[#This Row],[Manual Hierarchy]])</f>
        <v>07-085</v>
      </c>
      <c r="E156" s="104">
        <v>7</v>
      </c>
      <c r="F156" s="104" t="str">
        <f>IFERROR(VLOOKUP(Table_ErrorList[[#This Row],[Section '#]],Table_SectionNames[],MATCH(Table_SectionNames[[#Headers],[Name]],Table_SectionNames[#Headers],0),FALSE),"Not found")</f>
        <v>Other Expenses</v>
      </c>
      <c r="G156" s="104"/>
      <c r="H156" s="107" t="str">
        <f>IFERROR(VLOOKUP(Table_ErrorList[[#This Row],[Attention To Named Range]],Table_NamedRanges[],MATCH(Table_NamedRanges[[#Headers],[Reference Type]],Table_NamedRanges[#Headers],0),FALSE),"Error")</f>
        <v>Single Cell</v>
      </c>
      <c r="I156" s="102" t="s">
        <v>612</v>
      </c>
      <c r="J156" s="107" t="str">
        <f>IF(Table_ErrorList[[#This Row],[Manual Reference]]="",Table_ErrorList[[#This Row],[''Attention To'' Refence]],Table_ErrorList[[#This Row],[Manual Reference]])&amp;","</f>
        <v>$K$36,</v>
      </c>
      <c r="K156" s="107" t="str">
        <f>SUBSTITUTE(SUBSTITUTE(VLOOKUP(Table_ErrorList[[#This Row],[Attention To Named Range]],Table_NamedRanges[],MATCH(Table_NamedRanges[[#Headers],[Reference Text]],Table_NamedRanges[#Headers],0),FALSE),"=",""),"'Travel Expense Summary'!","")</f>
        <v>$K$36</v>
      </c>
      <c r="L156" s="107"/>
      <c r="M156" s="85" t="s">
        <v>1243</v>
      </c>
      <c r="N156" s="85" t="s">
        <v>1240</v>
      </c>
      <c r="O156" s="85" t="b">
        <v>1</v>
      </c>
      <c r="P156" s="106" t="s">
        <v>1241</v>
      </c>
      <c r="Q156" s="106" t="s">
        <v>1232</v>
      </c>
      <c r="R156"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56" s="85" t="b">
        <v>1</v>
      </c>
      <c r="T156" s="107" t="str">
        <f>IF(LEN(Table_ErrorList[[#This Row],[Message Bar Display]])&gt;$U$5,"Too Long, Characters = "&amp;LEN(Table_ErrorList[[#This Row],[Message Bar Display]])," ")</f>
        <v xml:space="preserve"> </v>
      </c>
      <c r="U156" s="107" t="str">
        <f>IF(LEN(Table_ErrorList[[#This Row],[Details Explanation (Line '#1)]])&gt;$U$5,"Too Long, Characters = "&amp;LEN(Table_ErrorList[[#This Row],[Details Explanation (Line '#1)]])," ")</f>
        <v xml:space="preserve"> </v>
      </c>
      <c r="V156" s="107" t="str">
        <f>IF(LEN(Table_ErrorList[[#This Row],[Details Explanation (Line '#2)]])&gt;$U$5,"Too Long, Characters = "&amp;LEN(Table_ErrorList[[#This Row],[Details Explanation (Line '#2)]])," ")</f>
        <v xml:space="preserve"> </v>
      </c>
    </row>
    <row r="157" spans="1:22" ht="30" x14ac:dyDescent="0.25">
      <c r="A157" s="107" t="e">
        <f>AND(
VLOOKUP(Others_Expense10,Table_Expenses[],MATCH(Table_Expenses[[#Headers],[DescriptionRequired]],Table_Expenses[#Headers],0),FALSE),
OR(Others_Desc10=0,Others_Desc10="",Others_Desc10=Dropdown_NotSelectedValue),
COUNTA(Others_Date10,Others_Expense10,, Others_From10, Others_To10, Others_Receipt10, Others_KM10)&gt;0)</f>
        <v>#N/A</v>
      </c>
      <c r="B157" s="107">
        <f ca="1">IFERROR(INDIRECT(Table_ErrorList[[#This Row],[Attention To Named Range]]),"Error")</f>
        <v>0</v>
      </c>
      <c r="C157" s="102">
        <v>1620</v>
      </c>
      <c r="D157" s="102" t="str">
        <f ca="1">IF(Table_ErrorList[[#This Row],[Manual Hierarchy]]="",CONCATENATE(TEXT(Table_ErrorList[[#This Row],[Section '#]],"00"),"-",TEXT(COUNTIF($E157:OFFSET(Table_ErrorList[[#Headers],[Section '#]],1,0,1,1),Table_ErrorList[[#This Row],[Section '#]]),"000")),Table_ErrorList[[#This Row],[Manual Hierarchy]])</f>
        <v>07-086</v>
      </c>
      <c r="E157" s="104">
        <v>7</v>
      </c>
      <c r="F157" s="104" t="str">
        <f>IFERROR(VLOOKUP(Table_ErrorList[[#This Row],[Section '#]],Table_SectionNames[],MATCH(Table_SectionNames[[#Headers],[Name]],Table_SectionNames[#Headers],0),FALSE),"Not found")</f>
        <v>Other Expenses</v>
      </c>
      <c r="G157" s="104"/>
      <c r="H157" s="107" t="str">
        <f>IFERROR(VLOOKUP(Table_ErrorList[[#This Row],[Attention To Named Range]],Table_NamedRanges[],MATCH(Table_NamedRanges[[#Headers],[Reference Type]],Table_NamedRanges[#Headers],0),FALSE),"Error")</f>
        <v>Single Cell</v>
      </c>
      <c r="I157" s="102" t="s">
        <v>591</v>
      </c>
      <c r="J157" s="107" t="str">
        <f>IF(Table_ErrorList[[#This Row],[Manual Reference]]="",Table_ErrorList[[#This Row],[''Attention To'' Refence]],Table_ErrorList[[#This Row],[Manual Reference]])&amp;","</f>
        <v>$M$36,</v>
      </c>
      <c r="K157" s="107" t="str">
        <f>SUBSTITUTE(SUBSTITUTE(VLOOKUP(Table_ErrorList[[#This Row],[Attention To Named Range]],Table_NamedRanges[],MATCH(Table_NamedRanges[[#Headers],[Reference Text]],Table_NamedRanges[#Headers],0),FALSE),"=",""),"'Travel Expense Summary'!","")</f>
        <v>$M$36</v>
      </c>
      <c r="L157" s="107"/>
      <c r="M157" s="85" t="s">
        <v>816</v>
      </c>
      <c r="N157" s="85" t="s">
        <v>823</v>
      </c>
      <c r="O157" s="85" t="b">
        <v>1</v>
      </c>
      <c r="P157" s="106" t="s">
        <v>894</v>
      </c>
      <c r="Q157" s="106" t="s">
        <v>979</v>
      </c>
      <c r="R157"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57" s="85" t="b">
        <v>1</v>
      </c>
      <c r="T157" s="85" t="str">
        <f>IF(LEN(Table_ErrorList[[#This Row],[Message Bar Display]])&gt;$U$5,"Too Long, Characters = "&amp;LEN(Table_ErrorList[[#This Row],[Message Bar Display]])," ")</f>
        <v xml:space="preserve"> </v>
      </c>
      <c r="U157" s="85" t="str">
        <f>IF(LEN(Table_ErrorList[[#This Row],[Details Explanation (Line '#1)]])&gt;$U$5,"Too Long, Characters = "&amp;LEN(Table_ErrorList[[#This Row],[Details Explanation (Line '#1)]])," ")</f>
        <v xml:space="preserve"> </v>
      </c>
      <c r="V157" s="85" t="str">
        <f>IF(LEN(Table_ErrorList[[#This Row],[Details Explanation (Line '#2)]])&gt;$U$5,"Too Long, Characters = "&amp;LEN(Table_ErrorList[[#This Row],[Details Explanation (Line '#2)]])," ")</f>
        <v xml:space="preserve"> </v>
      </c>
    </row>
    <row r="158" spans="1:22" ht="30" x14ac:dyDescent="0.25">
      <c r="A158" s="107" t="e">
        <f>AND(
VLOOKUP(Others_Expense10,Table_Expenses[],MATCH(Table_Expenses[[#Headers],[FromRequired]],Table_Expenses[#Headers],0),FALSE),
OR(Others_From10=0,Others_From10="",Others_From10=Dropdown_NotSelectedValue),
COUNTA(Others_Date10,Others_Expense10,Others_Desc10, Others_To10, Others_Receipt10, Others_KM10)&gt;0)</f>
        <v>#N/A</v>
      </c>
      <c r="B158" s="107">
        <f ca="1">IFERROR(INDIRECT(Table_ErrorList[[#This Row],[Attention To Named Range]]),"Error")</f>
        <v>0</v>
      </c>
      <c r="C158" s="102">
        <v>1630</v>
      </c>
      <c r="D158" s="102" t="str">
        <f ca="1">IF(Table_ErrorList[[#This Row],[Manual Hierarchy]]="",CONCATENATE(TEXT(Table_ErrorList[[#This Row],[Section '#]],"00"),"-",TEXT(COUNTIF($E158:OFFSET(Table_ErrorList[[#Headers],[Section '#]],1,0,1,1),Table_ErrorList[[#This Row],[Section '#]]),"000")),Table_ErrorList[[#This Row],[Manual Hierarchy]])</f>
        <v>07-087</v>
      </c>
      <c r="E158" s="104">
        <v>7</v>
      </c>
      <c r="F158" s="104" t="str">
        <f>IFERROR(VLOOKUP(Table_ErrorList[[#This Row],[Section '#]],Table_SectionNames[],MATCH(Table_SectionNames[[#Headers],[Name]],Table_SectionNames[#Headers],0),FALSE),"Not found")</f>
        <v>Other Expenses</v>
      </c>
      <c r="G158" s="104"/>
      <c r="H158" s="107" t="str">
        <f>IFERROR(VLOOKUP(Table_ErrorList[[#This Row],[Attention To Named Range]],Table_NamedRanges[],MATCH(Table_NamedRanges[[#Headers],[Reference Type]],Table_NamedRanges[#Headers],0),FALSE),"Error")</f>
        <v>Single Cell</v>
      </c>
      <c r="I158" s="102" t="s">
        <v>634</v>
      </c>
      <c r="J158" s="107" t="str">
        <f>IF(Table_ErrorList[[#This Row],[Manual Reference]]="",Table_ErrorList[[#This Row],[''Attention To'' Refence]],Table_ErrorList[[#This Row],[Manual Reference]])&amp;","</f>
        <v>$R$36,</v>
      </c>
      <c r="K158" s="107" t="str">
        <f>SUBSTITUTE(SUBSTITUTE(VLOOKUP(Table_ErrorList[[#This Row],[Attention To Named Range]],Table_NamedRanges[],MATCH(Table_NamedRanges[[#Headers],[Reference Text]],Table_NamedRanges[#Headers],0),FALSE),"=",""),"'Travel Expense Summary'!","")</f>
        <v>$R$36</v>
      </c>
      <c r="L158" s="107"/>
      <c r="M158" s="85" t="s">
        <v>817</v>
      </c>
      <c r="N158" s="85" t="s">
        <v>993</v>
      </c>
      <c r="O158" s="85" t="b">
        <v>1</v>
      </c>
      <c r="P158" s="106" t="s">
        <v>980</v>
      </c>
      <c r="Q158" s="106" t="s">
        <v>981</v>
      </c>
      <c r="R158"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58" s="85" t="b">
        <v>1</v>
      </c>
      <c r="T158" s="85" t="str">
        <f>IF(LEN(Table_ErrorList[[#This Row],[Message Bar Display]])&gt;$U$5,"Too Long, Characters = "&amp;LEN(Table_ErrorList[[#This Row],[Message Bar Display]])," ")</f>
        <v xml:space="preserve"> </v>
      </c>
      <c r="U158" s="85" t="str">
        <f>IF(LEN(Table_ErrorList[[#This Row],[Details Explanation (Line '#1)]])&gt;$U$5,"Too Long, Characters = "&amp;LEN(Table_ErrorList[[#This Row],[Details Explanation (Line '#1)]])," ")</f>
        <v xml:space="preserve"> </v>
      </c>
      <c r="V158" s="85" t="str">
        <f>IF(LEN(Table_ErrorList[[#This Row],[Details Explanation (Line '#2)]])&gt;$U$5,"Too Long, Characters = "&amp;LEN(Table_ErrorList[[#This Row],[Details Explanation (Line '#2)]])," ")</f>
        <v xml:space="preserve"> </v>
      </c>
    </row>
    <row r="159" spans="1:22" ht="30" x14ac:dyDescent="0.25">
      <c r="A159" s="107" t="e">
        <f>AND(
VLOOKUP(Others_Expense10,Table_Expenses[],MATCH(Table_Expenses[[#Headers],[ToRequired]],Table_Expenses[#Headers],0),FALSE),
OR(Others_To10=0,Others_To10="",Others_To10=Dropdown_NotSelectedValue),
COUNTA(Others_Date10,Others_Expense10,Others_Desc10, Others_From10, Others_Receipt10, Others_KM10)&gt;0)</f>
        <v>#N/A</v>
      </c>
      <c r="B159" s="107">
        <f ca="1">IFERROR(INDIRECT(Table_ErrorList[[#This Row],[Attention To Named Range]]),"Error")</f>
        <v>0</v>
      </c>
      <c r="C159" s="102">
        <v>1640</v>
      </c>
      <c r="D159" s="102" t="str">
        <f ca="1">IF(Table_ErrorList[[#This Row],[Manual Hierarchy]]="",CONCATENATE(TEXT(Table_ErrorList[[#This Row],[Section '#]],"00"),"-",TEXT(COUNTIF($E159:OFFSET(Table_ErrorList[[#Headers],[Section '#]],1,0,1,1),Table_ErrorList[[#This Row],[Section '#]]),"000")),Table_ErrorList[[#This Row],[Manual Hierarchy]])</f>
        <v>07-088</v>
      </c>
      <c r="E159" s="104">
        <v>7</v>
      </c>
      <c r="F159" s="104" t="str">
        <f>IFERROR(VLOOKUP(Table_ErrorList[[#This Row],[Section '#]],Table_SectionNames[],MATCH(Table_SectionNames[[#Headers],[Name]],Table_SectionNames[#Headers],0),FALSE),"Not found")</f>
        <v>Other Expenses</v>
      </c>
      <c r="G159" s="104"/>
      <c r="H159" s="107" t="str">
        <f>IFERROR(VLOOKUP(Table_ErrorList[[#This Row],[Attention To Named Range]],Table_NamedRanges[],MATCH(Table_NamedRanges[[#Headers],[Reference Type]],Table_NamedRanges[#Headers],0),FALSE),"Error")</f>
        <v>Single Cell</v>
      </c>
      <c r="I159" s="102" t="s">
        <v>813</v>
      </c>
      <c r="J159" s="107" t="str">
        <f>IF(Table_ErrorList[[#This Row],[Manual Reference]]="",Table_ErrorList[[#This Row],[''Attention To'' Refence]],Table_ErrorList[[#This Row],[Manual Reference]])&amp;","</f>
        <v>$T$36,</v>
      </c>
      <c r="K159" s="107" t="str">
        <f>SUBSTITUTE(SUBSTITUTE(VLOOKUP(Table_ErrorList[[#This Row],[Attention To Named Range]],Table_NamedRanges[],MATCH(Table_NamedRanges[[#Headers],[Reference Text]],Table_NamedRanges[#Headers],0),FALSE),"=",""),"'Travel Expense Summary'!","")</f>
        <v>$T$36</v>
      </c>
      <c r="L159" s="107"/>
      <c r="M159" s="85" t="s">
        <v>818</v>
      </c>
      <c r="N159" s="85" t="s">
        <v>1003</v>
      </c>
      <c r="O159" s="85" t="b">
        <v>1</v>
      </c>
      <c r="P159" s="106" t="s">
        <v>983</v>
      </c>
      <c r="Q159" s="106" t="s">
        <v>981</v>
      </c>
      <c r="R159"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9" s="85" t="b">
        <v>1</v>
      </c>
      <c r="T159" s="85" t="str">
        <f>IF(LEN(Table_ErrorList[[#This Row],[Message Bar Display]])&gt;$U$5,"Too Long, Characters = "&amp;LEN(Table_ErrorList[[#This Row],[Message Bar Display]])," ")</f>
        <v xml:space="preserve"> </v>
      </c>
      <c r="U159" s="85" t="str">
        <f>IF(LEN(Table_ErrorList[[#This Row],[Details Explanation (Line '#1)]])&gt;$U$5,"Too Long, Characters = "&amp;LEN(Table_ErrorList[[#This Row],[Details Explanation (Line '#1)]])," ")</f>
        <v xml:space="preserve"> </v>
      </c>
      <c r="V159" s="85" t="str">
        <f>IF(LEN(Table_ErrorList[[#This Row],[Details Explanation (Line '#2)]])&gt;$U$5,"Too Long, Characters = "&amp;LEN(Table_ErrorList[[#This Row],[Details Explanation (Line '#2)]])," ")</f>
        <v xml:space="preserve"> </v>
      </c>
    </row>
    <row r="160" spans="1:22" ht="33.75" x14ac:dyDescent="0.25">
      <c r="A160" s="107" t="e">
        <f>AND(
VLOOKUP(Others_Expense10,Table_Expenses[],MATCH(Table_Expenses[[#Headers],[ReceiptRequired]],Table_Expenses[#Headers],0),FALSE),
OR(Others_Receipt10=0,Others_Receipt10="",Others_Receipt10=Dropdown_NotSelectedValue),
COUNTA(Others_Date10,Others_Expense10,Others_Desc10, Others_From10, Others_To10, Others_KM10)&gt;0)</f>
        <v>#N/A</v>
      </c>
      <c r="B160" s="107">
        <f ca="1">IFERROR(INDIRECT(Table_ErrorList[[#This Row],[Attention To Named Range]]),"Error")</f>
        <v>0</v>
      </c>
      <c r="C160" s="102">
        <v>1650</v>
      </c>
      <c r="D160" s="102" t="str">
        <f ca="1">IF(Table_ErrorList[[#This Row],[Manual Hierarchy]]="",CONCATENATE(TEXT(Table_ErrorList[[#This Row],[Section '#]],"00"),"-",TEXT(COUNTIF($E160:OFFSET(Table_ErrorList[[#Headers],[Section '#]],1,0,1,1),Table_ErrorList[[#This Row],[Section '#]]),"000")),Table_ErrorList[[#This Row],[Manual Hierarchy]])</f>
        <v>07-089</v>
      </c>
      <c r="E160" s="104">
        <v>7</v>
      </c>
      <c r="F160" s="104" t="str">
        <f>IFERROR(VLOOKUP(Table_ErrorList[[#This Row],[Section '#]],Table_SectionNames[],MATCH(Table_SectionNames[[#Headers],[Name]],Table_SectionNames[#Headers],0),FALSE),"Not found")</f>
        <v>Other Expenses</v>
      </c>
      <c r="G160" s="104"/>
      <c r="H160" s="107" t="str">
        <f>IFERROR(VLOOKUP(Table_ErrorList[[#This Row],[Attention To Named Range]],Table_NamedRanges[],MATCH(Table_NamedRanges[[#Headers],[Reference Type]],Table_NamedRanges[#Headers],0),FALSE),"Error")</f>
        <v>Single Cell</v>
      </c>
      <c r="I160" s="102" t="s">
        <v>678</v>
      </c>
      <c r="J160" s="107" t="str">
        <f>IF(Table_ErrorList[[#This Row],[Manual Reference]]="",Table_ErrorList[[#This Row],[''Attention To'' Refence]],Table_ErrorList[[#This Row],[Manual Reference]])&amp;","</f>
        <v>$X$36,</v>
      </c>
      <c r="K160" s="107" t="str">
        <f>SUBSTITUTE(SUBSTITUTE(VLOOKUP(Table_ErrorList[[#This Row],[Attention To Named Range]],Table_NamedRanges[],MATCH(Table_NamedRanges[[#Headers],[Reference Text]],Table_NamedRanges[#Headers],0),FALSE),"=",""),"'Travel Expense Summary'!","")</f>
        <v>$X$36</v>
      </c>
      <c r="L160" s="107"/>
      <c r="M160" s="85" t="s">
        <v>819</v>
      </c>
      <c r="N160" s="85" t="s">
        <v>824</v>
      </c>
      <c r="O160" s="85" t="b">
        <v>1</v>
      </c>
      <c r="P160" s="106" t="s">
        <v>1079</v>
      </c>
      <c r="Q160" s="106" t="s">
        <v>728</v>
      </c>
      <c r="R160"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0" s="85" t="b">
        <v>1</v>
      </c>
      <c r="T160" s="85" t="str">
        <f>IF(LEN(Table_ErrorList[[#This Row],[Message Bar Display]])&gt;$U$5,"Too Long, Characters = "&amp;LEN(Table_ErrorList[[#This Row],[Message Bar Display]])," ")</f>
        <v xml:space="preserve"> </v>
      </c>
      <c r="U160" s="85" t="str">
        <f>IF(LEN(Table_ErrorList[[#This Row],[Details Explanation (Line '#1)]])&gt;$U$5,"Too Long, Characters = "&amp;LEN(Table_ErrorList[[#This Row],[Details Explanation (Line '#1)]])," ")</f>
        <v xml:space="preserve"> </v>
      </c>
      <c r="V160" s="85" t="str">
        <f>IF(LEN(Table_ErrorList[[#This Row],[Details Explanation (Line '#2)]])&gt;$U$5,"Too Long, Characters = "&amp;LEN(Table_ErrorList[[#This Row],[Details Explanation (Line '#2)]])," ")</f>
        <v xml:space="preserve"> </v>
      </c>
    </row>
    <row r="161" spans="1:22" ht="45" x14ac:dyDescent="0.25">
      <c r="A161" s="107" t="e">
        <f>AND(
VLOOKUP(Others_Expense10,Table_Expenses[],MATCH(Table_Expenses[[#Headers],[KMRequired]],Table_Expenses[#Headers],0),FALSE),
OR(Others_KM10=0,Others_KM10="",Others_KM10=Dropdown_NotSelectedValue),
COUNTA(Others_Date10,Others_Expense10,Others_Desc10, Others_From10, Others_To10, Others_Receipt10)&gt;0)</f>
        <v>#N/A</v>
      </c>
      <c r="B161" s="107">
        <f ca="1">IFERROR(INDIRECT(Table_ErrorList[[#This Row],[Attention To Named Range]]),"Error")</f>
        <v>0</v>
      </c>
      <c r="C161" s="102">
        <v>1660</v>
      </c>
      <c r="D161" s="102" t="str">
        <f ca="1">IF(Table_ErrorList[[#This Row],[Manual Hierarchy]]="",CONCATENATE(TEXT(Table_ErrorList[[#This Row],[Section '#]],"00"),"-",TEXT(COUNTIF($E161:OFFSET(Table_ErrorList[[#Headers],[Section '#]],1,0,1,1),Table_ErrorList[[#This Row],[Section '#]]),"000")),Table_ErrorList[[#This Row],[Manual Hierarchy]])</f>
        <v>07-090</v>
      </c>
      <c r="E161" s="104">
        <v>7</v>
      </c>
      <c r="F161" s="104" t="str">
        <f>IFERROR(VLOOKUP(Table_ErrorList[[#This Row],[Section '#]],Table_SectionNames[],MATCH(Table_SectionNames[[#Headers],[Name]],Table_SectionNames[#Headers],0),FALSE),"Not found")</f>
        <v>Other Expenses</v>
      </c>
      <c r="G161" s="104"/>
      <c r="H161" s="107" t="str">
        <f>IFERROR(VLOOKUP(Table_ErrorList[[#This Row],[Attention To Named Range]],Table_NamedRanges[],MATCH(Table_NamedRanges[[#Headers],[Reference Type]],Table_NamedRanges[#Headers],0),FALSE),"Error")</f>
        <v>Single Cell</v>
      </c>
      <c r="I161" s="102" t="s">
        <v>656</v>
      </c>
      <c r="J161" s="107" t="str">
        <f>IF(Table_ErrorList[[#This Row],[Manual Reference]]="",Table_ErrorList[[#This Row],[''Attention To'' Refence]],Table_ErrorList[[#This Row],[Manual Reference]])&amp;","</f>
        <v>$Y$36,</v>
      </c>
      <c r="K161" s="107" t="str">
        <f>SUBSTITUTE(SUBSTITUTE(VLOOKUP(Table_ErrorList[[#This Row],[Attention To Named Range]],Table_NamedRanges[],MATCH(Table_NamedRanges[[#Headers],[Reference Text]],Table_NamedRanges[#Headers],0),FALSE),"=",""),"'Travel Expense Summary'!","")</f>
        <v>$Y$36</v>
      </c>
      <c r="L161" s="107"/>
      <c r="M161" s="85" t="s">
        <v>820</v>
      </c>
      <c r="N161" s="85" t="s">
        <v>825</v>
      </c>
      <c r="O161" s="85" t="b">
        <v>1</v>
      </c>
      <c r="P161" s="106" t="s">
        <v>892</v>
      </c>
      <c r="Q161" s="106" t="s">
        <v>893</v>
      </c>
      <c r="R161"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61" s="85" t="b">
        <v>1</v>
      </c>
      <c r="T161" s="85" t="str">
        <f>IF(LEN(Table_ErrorList[[#This Row],[Message Bar Display]])&gt;$U$5,"Too Long, Characters = "&amp;LEN(Table_ErrorList[[#This Row],[Message Bar Display]])," ")</f>
        <v xml:space="preserve"> </v>
      </c>
      <c r="U161" s="85" t="str">
        <f>IF(LEN(Table_ErrorList[[#This Row],[Details Explanation (Line '#1)]])&gt;$U$5,"Too Long, Characters = "&amp;LEN(Table_ErrorList[[#This Row],[Details Explanation (Line '#1)]])," ")</f>
        <v xml:space="preserve"> </v>
      </c>
      <c r="V161" s="85" t="str">
        <f>IF(LEN(Table_ErrorList[[#This Row],[Details Explanation (Line '#2)]])&gt;$U$5,"Too Long, Characters = "&amp;LEN(Table_ErrorList[[#This Row],[Details Explanation (Line '#2)]])," ")</f>
        <v xml:space="preserve"> </v>
      </c>
    </row>
    <row r="162" spans="1:22" ht="30" x14ac:dyDescent="0.25">
      <c r="A162" s="107" t="b">
        <f>AND(
OR(Others_Date11=0,Others_Date11="",Others_Date11=Dropdown_NotSelectedValue),
COUNTA(Others_Expense11,Others_Desc11, Others_From11, Others_To11, Others_Receipt11, Others_KM11)&gt;0)</f>
        <v>0</v>
      </c>
      <c r="B162" s="107">
        <f ca="1">IFERROR(INDIRECT(Table_ErrorList[[#This Row],[Attention To Named Range]]),"Error")</f>
        <v>0</v>
      </c>
      <c r="C162" s="102">
        <v>1700</v>
      </c>
      <c r="D162" s="102" t="str">
        <f ca="1">IF(Table_ErrorList[[#This Row],[Manual Hierarchy]]="",CONCATENATE(TEXT(Table_ErrorList[[#This Row],[Section '#]],"00"),"-",TEXT(COUNTIF($E162:OFFSET(Table_ErrorList[[#Headers],[Section '#]],1,0,1,1),Table_ErrorList[[#This Row],[Section '#]]),"000")),Table_ErrorList[[#This Row],[Manual Hierarchy]])</f>
        <v>07-091</v>
      </c>
      <c r="E162" s="104">
        <v>7</v>
      </c>
      <c r="F162" s="104" t="str">
        <f>IFERROR(VLOOKUP(Table_ErrorList[[#This Row],[Section '#]],Table_SectionNames[],MATCH(Table_SectionNames[[#Headers],[Name]],Table_SectionNames[#Headers],0),FALSE),"Not found")</f>
        <v>Other Expenses</v>
      </c>
      <c r="G162" s="104"/>
      <c r="H162" s="107" t="str">
        <f>IFERROR(VLOOKUP(Table_ErrorList[[#This Row],[Attention To Named Range]],Table_NamedRanges[],MATCH(Table_NamedRanges[[#Headers],[Reference Type]],Table_NamedRanges[#Headers],0),FALSE),"Error")</f>
        <v>Single Cell</v>
      </c>
      <c r="I162" s="102" t="s">
        <v>537</v>
      </c>
      <c r="J162" s="107" t="str">
        <f>IF(Table_ErrorList[[#This Row],[Manual Reference]]="",Table_ErrorList[[#This Row],[''Attention To'' Refence]],Table_ErrorList[[#This Row],[Manual Reference]])&amp;","</f>
        <v>$I$37,</v>
      </c>
      <c r="K162" s="107" t="str">
        <f>SUBSTITUTE(SUBSTITUTE(VLOOKUP(Table_ErrorList[[#This Row],[Attention To Named Range]],Table_NamedRanges[],MATCH(Table_NamedRanges[[#Headers],[Reference Text]],Table_NamedRanges[#Headers],0),FALSE),"=",""),"'Travel Expense Summary'!","")</f>
        <v>$I$37</v>
      </c>
      <c r="L162" s="107"/>
      <c r="M162" s="85" t="s">
        <v>826</v>
      </c>
      <c r="N162" s="85" t="s">
        <v>833</v>
      </c>
      <c r="O162" s="85" t="b">
        <v>1</v>
      </c>
      <c r="P162" s="106" t="s">
        <v>260</v>
      </c>
      <c r="Q162" s="106" t="s">
        <v>261</v>
      </c>
      <c r="R162" s="116"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62" s="85" t="b">
        <v>1</v>
      </c>
      <c r="T162" s="85" t="str">
        <f>IF(LEN(Table_ErrorList[[#This Row],[Message Bar Display]])&gt;$U$5,"Too Long, Characters = "&amp;LEN(Table_ErrorList[[#This Row],[Message Bar Display]])," ")</f>
        <v xml:space="preserve"> </v>
      </c>
      <c r="U162" s="85" t="str">
        <f>IF(LEN(Table_ErrorList[[#This Row],[Details Explanation (Line '#1)]])&gt;$U$5,"Too Long, Characters = "&amp;LEN(Table_ErrorList[[#This Row],[Details Explanation (Line '#1)]])," ")</f>
        <v xml:space="preserve"> </v>
      </c>
      <c r="V162" s="85" t="str">
        <f>IF(LEN(Table_ErrorList[[#This Row],[Details Explanation (Line '#2)]])&gt;$U$5,"Too Long, Characters = "&amp;LEN(Table_ErrorList[[#This Row],[Details Explanation (Line '#2)]])," ")</f>
        <v xml:space="preserve"> </v>
      </c>
    </row>
    <row r="163" spans="1:22" s="32" customFormat="1" ht="30" x14ac:dyDescent="0.25">
      <c r="A163" s="107" t="b">
        <f>IF(Others_Date11&gt;0,NOT(AND(Field15_TravelStartDate&lt;=Others_Date11,Field16_TravelEndDate&gt;=Others_Date11)),FALSE)</f>
        <v>0</v>
      </c>
      <c r="B163" s="107">
        <f ca="1">IFERROR(INDIRECT(Table_ErrorList[[#This Row],[Attention To Named Range]]),"Error")</f>
        <v>0</v>
      </c>
      <c r="C163" s="102">
        <v>1701</v>
      </c>
      <c r="D163" s="102" t="str">
        <f ca="1">IF(Table_ErrorList[[#This Row],[Manual Hierarchy]]="",CONCATENATE(TEXT(Table_ErrorList[[#This Row],[Section '#]],"00"),"-",TEXT(COUNTIF($E163:OFFSET(Table_ErrorList[[#Headers],[Section '#]],1,0,1,1),Table_ErrorList[[#This Row],[Section '#]]),"000")),Table_ErrorList[[#This Row],[Manual Hierarchy]])</f>
        <v>07-092</v>
      </c>
      <c r="E163" s="104">
        <v>7</v>
      </c>
      <c r="F163" s="104" t="str">
        <f>IFERROR(VLOOKUP(Table_ErrorList[[#This Row],[Section '#]],Table_SectionNames[],MATCH(Table_SectionNames[[#Headers],[Name]],Table_SectionNames[#Headers],0),FALSE),"Not found")</f>
        <v>Other Expenses</v>
      </c>
      <c r="G163" s="104"/>
      <c r="H163" s="107" t="str">
        <f>IFERROR(VLOOKUP(Table_ErrorList[[#This Row],[Attention To Named Range]],Table_NamedRanges[],MATCH(Table_NamedRanges[[#Headers],[Reference Type]],Table_NamedRanges[#Headers],0),FALSE),"Error")</f>
        <v>Single Cell</v>
      </c>
      <c r="I163" s="102" t="s">
        <v>537</v>
      </c>
      <c r="J163" s="107" t="str">
        <f>IF(Table_ErrorList[[#This Row],[Manual Reference]]="",Table_ErrorList[[#This Row],[''Attention To'' Refence]],Table_ErrorList[[#This Row],[Manual Reference]])&amp;","</f>
        <v>$I$37,</v>
      </c>
      <c r="K163" s="107" t="str">
        <f>SUBSTITUTE(SUBSTITUTE(VLOOKUP(Table_ErrorList[[#This Row],[Attention To Named Range]],Table_NamedRanges[],MATCH(Table_NamedRanges[[#Headers],[Reference Text]],Table_NamedRanges[#Headers],0),FALSE),"=",""),"'Travel Expense Summary'!","")</f>
        <v>$I$37</v>
      </c>
      <c r="L163" s="107"/>
      <c r="M163" s="85" t="s">
        <v>1226</v>
      </c>
      <c r="N163" s="85" t="s">
        <v>1227</v>
      </c>
      <c r="O163" s="85" t="b">
        <v>1</v>
      </c>
      <c r="P163" s="106" t="s">
        <v>1228</v>
      </c>
      <c r="Q163" s="106" t="s">
        <v>1229</v>
      </c>
      <c r="R163" s="109"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63" s="85"/>
      <c r="T163" s="107" t="str">
        <f>IF(LEN(Table_ErrorList[[#This Row],[Message Bar Display]])&gt;$U$5,"Too Long, Characters = "&amp;LEN(Table_ErrorList[[#This Row],[Message Bar Display]])," ")</f>
        <v xml:space="preserve"> </v>
      </c>
      <c r="U163" s="107" t="str">
        <f>IF(LEN(Table_ErrorList[[#This Row],[Details Explanation (Line '#1)]])&gt;$U$5,"Too Long, Characters = "&amp;LEN(Table_ErrorList[[#This Row],[Details Explanation (Line '#1)]])," ")</f>
        <v xml:space="preserve"> </v>
      </c>
      <c r="V163" s="107" t="str">
        <f>IF(LEN(Table_ErrorList[[#This Row],[Details Explanation (Line '#2)]])&gt;$U$5,"Too Long, Characters = "&amp;LEN(Table_ErrorList[[#This Row],[Details Explanation (Line '#2)]])," ")</f>
        <v xml:space="preserve"> </v>
      </c>
    </row>
    <row r="164" spans="1:22" ht="33.75" x14ac:dyDescent="0.25">
      <c r="A164" s="107" t="b">
        <f>AND(
OR(Others_Expense11=0,Others_Expense11="",Others_Expense11=Dropdown_NotSelectedValue),
COUNTA(Others_Date11,Others_Desc11, Others_From11, Others_To11, Others_Receipt11, Others_KM11)&gt;0)</f>
        <v>0</v>
      </c>
      <c r="B164" s="107">
        <f ca="1">IFERROR(INDIRECT(Table_ErrorList[[#This Row],[Attention To Named Range]]),"Error")</f>
        <v>0</v>
      </c>
      <c r="C164" s="102">
        <v>1710</v>
      </c>
      <c r="D164" s="102" t="str">
        <f ca="1">IF(Table_ErrorList[[#This Row],[Manual Hierarchy]]="",CONCATENATE(TEXT(Table_ErrorList[[#This Row],[Section '#]],"00"),"-",TEXT(COUNTIF($E164:OFFSET(Table_ErrorList[[#Headers],[Section '#]],1,0,1,1),Table_ErrorList[[#This Row],[Section '#]]),"000")),Table_ErrorList[[#This Row],[Manual Hierarchy]])</f>
        <v>07-093</v>
      </c>
      <c r="E164" s="104">
        <v>7</v>
      </c>
      <c r="F164" s="104" t="str">
        <f>IFERROR(VLOOKUP(Table_ErrorList[[#This Row],[Section '#]],Table_SectionNames[],MATCH(Table_SectionNames[[#Headers],[Name]],Table_SectionNames[#Headers],0),FALSE),"Not found")</f>
        <v>Other Expenses</v>
      </c>
      <c r="G164" s="104"/>
      <c r="H164" s="107" t="str">
        <f>IFERROR(VLOOKUP(Table_ErrorList[[#This Row],[Attention To Named Range]],Table_NamedRanges[],MATCH(Table_NamedRanges[[#Headers],[Reference Type]],Table_NamedRanges[#Headers],0),FALSE),"Error")</f>
        <v>Single Cell</v>
      </c>
      <c r="I164" s="102" t="s">
        <v>614</v>
      </c>
      <c r="J164" s="107" t="str">
        <f>IF(Table_ErrorList[[#This Row],[Manual Reference]]="",Table_ErrorList[[#This Row],[''Attention To'' Refence]],Table_ErrorList[[#This Row],[Manual Reference]])&amp;","</f>
        <v>$K$37,</v>
      </c>
      <c r="K164" s="107" t="str">
        <f>SUBSTITUTE(SUBSTITUTE(VLOOKUP(Table_ErrorList[[#This Row],[Attention To Named Range]],Table_NamedRanges[],MATCH(Table_NamedRanges[[#Headers],[Reference Text]],Table_NamedRanges[#Headers],0),FALSE),"=",""),"'Travel Expense Summary'!","")</f>
        <v>$K$37</v>
      </c>
      <c r="L164" s="107"/>
      <c r="M164" s="85" t="s">
        <v>827</v>
      </c>
      <c r="N164" s="85" t="s">
        <v>834</v>
      </c>
      <c r="O164" s="85" t="b">
        <v>1</v>
      </c>
      <c r="P164" s="106" t="s">
        <v>705</v>
      </c>
      <c r="Q164" s="106" t="s">
        <v>708</v>
      </c>
      <c r="R164" s="116"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64" s="85" t="b">
        <v>1</v>
      </c>
      <c r="T164" s="85" t="str">
        <f>IF(LEN(Table_ErrorList[[#This Row],[Message Bar Display]])&gt;$U$5,"Too Long, Characters = "&amp;LEN(Table_ErrorList[[#This Row],[Message Bar Display]])," ")</f>
        <v xml:space="preserve"> </v>
      </c>
      <c r="U164" s="85" t="str">
        <f>IF(LEN(Table_ErrorList[[#This Row],[Details Explanation (Line '#1)]])&gt;$U$5,"Too Long, Characters = "&amp;LEN(Table_ErrorList[[#This Row],[Details Explanation (Line '#1)]])," ")</f>
        <v xml:space="preserve"> </v>
      </c>
      <c r="V164" s="85" t="str">
        <f>IF(LEN(Table_ErrorList[[#This Row],[Details Explanation (Line '#2)]])&gt;$U$5,"Too Long, Characters = "&amp;LEN(Table_ErrorList[[#This Row],[Details Explanation (Line '#2)]])," ")</f>
        <v xml:space="preserve"> </v>
      </c>
    </row>
    <row r="165" spans="1:22" s="32" customFormat="1" ht="30" x14ac:dyDescent="0.25">
      <c r="A165" s="107" t="b">
        <f>IF(AND(ISBLANK(Others_Expense11)=FALSE,Others_Expense11&lt;&gt;Dropdown_NotSelectedValue),IFERROR(NOT(MATCH(Others_Expense11,Dropdown_Expenses,0)&gt;0),TRUE),FALSE)</f>
        <v>0</v>
      </c>
      <c r="B165" s="107">
        <f ca="1">IFERROR(INDIRECT(Table_ErrorList[[#This Row],[Attention To Named Range]]),"Error")</f>
        <v>0</v>
      </c>
      <c r="C165" s="102">
        <v>1711</v>
      </c>
      <c r="D165" s="102" t="str">
        <f ca="1">IF(Table_ErrorList[[#This Row],[Manual Hierarchy]]="",CONCATENATE(TEXT(Table_ErrorList[[#This Row],[Section '#]],"00"),"-",TEXT(COUNTIF($E165:OFFSET(Table_ErrorList[[#Headers],[Section '#]],1,0,1,1),Table_ErrorList[[#This Row],[Section '#]]),"000")),Table_ErrorList[[#This Row],[Manual Hierarchy]])</f>
        <v>07-094</v>
      </c>
      <c r="E165" s="104">
        <v>7</v>
      </c>
      <c r="F165" s="104" t="str">
        <f>IFERROR(VLOOKUP(Table_ErrorList[[#This Row],[Section '#]],Table_SectionNames[],MATCH(Table_SectionNames[[#Headers],[Name]],Table_SectionNames[#Headers],0),FALSE),"Not found")</f>
        <v>Other Expenses</v>
      </c>
      <c r="G165" s="104"/>
      <c r="H165" s="107" t="str">
        <f>IFERROR(VLOOKUP(Table_ErrorList[[#This Row],[Attention To Named Range]],Table_NamedRanges[],MATCH(Table_NamedRanges[[#Headers],[Reference Type]],Table_NamedRanges[#Headers],0),FALSE),"Error")</f>
        <v>Single Cell</v>
      </c>
      <c r="I165" s="102" t="s">
        <v>614</v>
      </c>
      <c r="J165" s="107" t="str">
        <f>IF(Table_ErrorList[[#This Row],[Manual Reference]]="",Table_ErrorList[[#This Row],[''Attention To'' Refence]],Table_ErrorList[[#This Row],[Manual Reference]])&amp;","</f>
        <v>$K$37,</v>
      </c>
      <c r="K165" s="107" t="str">
        <f>SUBSTITUTE(SUBSTITUTE(VLOOKUP(Table_ErrorList[[#This Row],[Attention To Named Range]],Table_NamedRanges[],MATCH(Table_NamedRanges[[#Headers],[Reference Text]],Table_NamedRanges[#Headers],0),FALSE),"=",""),"'Travel Expense Summary'!","")</f>
        <v>$K$37</v>
      </c>
      <c r="L165" s="107"/>
      <c r="M165" s="85" t="s">
        <v>1242</v>
      </c>
      <c r="N165" s="85" t="s">
        <v>1240</v>
      </c>
      <c r="O165" s="85" t="b">
        <v>1</v>
      </c>
      <c r="P165" s="106" t="s">
        <v>1241</v>
      </c>
      <c r="Q165" s="106" t="s">
        <v>1232</v>
      </c>
      <c r="R165" s="109"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65" s="85" t="b">
        <v>1</v>
      </c>
      <c r="T165" s="107" t="str">
        <f>IF(LEN(Table_ErrorList[[#This Row],[Message Bar Display]])&gt;$U$5,"Too Long, Characters = "&amp;LEN(Table_ErrorList[[#This Row],[Message Bar Display]])," ")</f>
        <v xml:space="preserve"> </v>
      </c>
      <c r="U165" s="107" t="str">
        <f>IF(LEN(Table_ErrorList[[#This Row],[Details Explanation (Line '#1)]])&gt;$U$5,"Too Long, Characters = "&amp;LEN(Table_ErrorList[[#This Row],[Details Explanation (Line '#1)]])," ")</f>
        <v xml:space="preserve"> </v>
      </c>
      <c r="V165" s="107" t="str">
        <f>IF(LEN(Table_ErrorList[[#This Row],[Details Explanation (Line '#2)]])&gt;$U$5,"Too Long, Characters = "&amp;LEN(Table_ErrorList[[#This Row],[Details Explanation (Line '#2)]])," ")</f>
        <v xml:space="preserve"> </v>
      </c>
    </row>
    <row r="166" spans="1:22" ht="30" x14ac:dyDescent="0.25">
      <c r="A166" s="107" t="e">
        <f>AND(
VLOOKUP(Others_Expense11,Table_Expenses[],MATCH(Table_Expenses[[#Headers],[DescriptionRequired]],Table_Expenses[#Headers],0),FALSE),
OR(Others_Desc11=0,Others_Desc11="",Others_Desc11=Dropdown_NotSelectedValue),
COUNTA(Others_Date11,Others_Expense11,, Others_From11, Others_To11, Others_Receipt11, Others_KM11)&gt;0)</f>
        <v>#N/A</v>
      </c>
      <c r="B166" s="107">
        <f ca="1">IFERROR(INDIRECT(Table_ErrorList[[#This Row],[Attention To Named Range]]),"Error")</f>
        <v>0</v>
      </c>
      <c r="C166" s="102">
        <v>1720</v>
      </c>
      <c r="D166" s="102" t="str">
        <f ca="1">IF(Table_ErrorList[[#This Row],[Manual Hierarchy]]="",CONCATENATE(TEXT(Table_ErrorList[[#This Row],[Section '#]],"00"),"-",TEXT(COUNTIF($E166:OFFSET(Table_ErrorList[[#Headers],[Section '#]],1,0,1,1),Table_ErrorList[[#This Row],[Section '#]]),"000")),Table_ErrorList[[#This Row],[Manual Hierarchy]])</f>
        <v>07-095</v>
      </c>
      <c r="E166" s="104">
        <v>7</v>
      </c>
      <c r="F166" s="104" t="str">
        <f>IFERROR(VLOOKUP(Table_ErrorList[[#This Row],[Section '#]],Table_SectionNames[],MATCH(Table_SectionNames[[#Headers],[Name]],Table_SectionNames[#Headers],0),FALSE),"Not found")</f>
        <v>Other Expenses</v>
      </c>
      <c r="G166" s="104"/>
      <c r="H166" s="107" t="str">
        <f>IFERROR(VLOOKUP(Table_ErrorList[[#This Row],[Attention To Named Range]],Table_NamedRanges[],MATCH(Table_NamedRanges[[#Headers],[Reference Type]],Table_NamedRanges[#Headers],0),FALSE),"Error")</f>
        <v>Single Cell</v>
      </c>
      <c r="I166" s="102" t="s">
        <v>593</v>
      </c>
      <c r="J166" s="107" t="str">
        <f>IF(Table_ErrorList[[#This Row],[Manual Reference]]="",Table_ErrorList[[#This Row],[''Attention To'' Refence]],Table_ErrorList[[#This Row],[Manual Reference]])&amp;","</f>
        <v>$M$37,</v>
      </c>
      <c r="K166" s="107" t="str">
        <f>SUBSTITUTE(SUBSTITUTE(VLOOKUP(Table_ErrorList[[#This Row],[Attention To Named Range]],Table_NamedRanges[],MATCH(Table_NamedRanges[[#Headers],[Reference Text]],Table_NamedRanges[#Headers],0),FALSE),"=",""),"'Travel Expense Summary'!","")</f>
        <v>$M$37</v>
      </c>
      <c r="L166" s="107"/>
      <c r="M166" s="85" t="s">
        <v>828</v>
      </c>
      <c r="N166" s="85" t="s">
        <v>835</v>
      </c>
      <c r="O166" s="85" t="b">
        <v>1</v>
      </c>
      <c r="P166" s="106" t="s">
        <v>894</v>
      </c>
      <c r="Q166" s="106" t="s">
        <v>979</v>
      </c>
      <c r="R166" s="116"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66" s="85" t="b">
        <v>1</v>
      </c>
      <c r="T166" s="85" t="str">
        <f>IF(LEN(Table_ErrorList[[#This Row],[Message Bar Display]])&gt;$U$5,"Too Long, Characters = "&amp;LEN(Table_ErrorList[[#This Row],[Message Bar Display]])," ")</f>
        <v xml:space="preserve"> </v>
      </c>
      <c r="U166" s="85" t="str">
        <f>IF(LEN(Table_ErrorList[[#This Row],[Details Explanation (Line '#1)]])&gt;$U$5,"Too Long, Characters = "&amp;LEN(Table_ErrorList[[#This Row],[Details Explanation (Line '#1)]])," ")</f>
        <v xml:space="preserve"> </v>
      </c>
      <c r="V166" s="85" t="str">
        <f>IF(LEN(Table_ErrorList[[#This Row],[Details Explanation (Line '#2)]])&gt;$U$5,"Too Long, Characters = "&amp;LEN(Table_ErrorList[[#This Row],[Details Explanation (Line '#2)]])," ")</f>
        <v xml:space="preserve"> </v>
      </c>
    </row>
    <row r="167" spans="1:22" ht="30" x14ac:dyDescent="0.25">
      <c r="A167" s="107" t="e">
        <f>AND(
VLOOKUP(Others_Expense11,Table_Expenses[],MATCH(Table_Expenses[[#Headers],[FromRequired]],Table_Expenses[#Headers],0),FALSE),
OR(Others_From11=0,Others_From11="",Others_From11=Dropdown_NotSelectedValue),
COUNTA(Others_Date11,Others_Expense11,Others_Desc11, Others_To11, Others_Receipt11, Others_KM11)&gt;0)</f>
        <v>#N/A</v>
      </c>
      <c r="B167" s="107">
        <f ca="1">IFERROR(INDIRECT(Table_ErrorList[[#This Row],[Attention To Named Range]]),"Error")</f>
        <v>0</v>
      </c>
      <c r="C167" s="102">
        <v>1730</v>
      </c>
      <c r="D167" s="102" t="str">
        <f ca="1">IF(Table_ErrorList[[#This Row],[Manual Hierarchy]]="",CONCATENATE(TEXT(Table_ErrorList[[#This Row],[Section '#]],"00"),"-",TEXT(COUNTIF($E167:OFFSET(Table_ErrorList[[#Headers],[Section '#]],1,0,1,1),Table_ErrorList[[#This Row],[Section '#]]),"000")),Table_ErrorList[[#This Row],[Manual Hierarchy]])</f>
        <v>07-096</v>
      </c>
      <c r="E167" s="104">
        <v>7</v>
      </c>
      <c r="F167" s="104" t="str">
        <f>IFERROR(VLOOKUP(Table_ErrorList[[#This Row],[Section '#]],Table_SectionNames[],MATCH(Table_SectionNames[[#Headers],[Name]],Table_SectionNames[#Headers],0),FALSE),"Not found")</f>
        <v>Other Expenses</v>
      </c>
      <c r="G167" s="104"/>
      <c r="H167" s="107" t="str">
        <f>IFERROR(VLOOKUP(Table_ErrorList[[#This Row],[Attention To Named Range]],Table_NamedRanges[],MATCH(Table_NamedRanges[[#Headers],[Reference Type]],Table_NamedRanges[#Headers],0),FALSE),"Error")</f>
        <v>Single Cell</v>
      </c>
      <c r="I167" s="102" t="s">
        <v>636</v>
      </c>
      <c r="J167" s="107" t="str">
        <f>IF(Table_ErrorList[[#This Row],[Manual Reference]]="",Table_ErrorList[[#This Row],[''Attention To'' Refence]],Table_ErrorList[[#This Row],[Manual Reference]])&amp;","</f>
        <v>$R$37,</v>
      </c>
      <c r="K167" s="107" t="str">
        <f>SUBSTITUTE(SUBSTITUTE(VLOOKUP(Table_ErrorList[[#This Row],[Attention To Named Range]],Table_NamedRanges[],MATCH(Table_NamedRanges[[#Headers],[Reference Text]],Table_NamedRanges[#Headers],0),FALSE),"=",""),"'Travel Expense Summary'!","")</f>
        <v>$R$37</v>
      </c>
      <c r="L167" s="107"/>
      <c r="M167" s="85" t="s">
        <v>829</v>
      </c>
      <c r="N167" s="85" t="s">
        <v>994</v>
      </c>
      <c r="O167" s="85" t="b">
        <v>1</v>
      </c>
      <c r="P167" s="106" t="s">
        <v>980</v>
      </c>
      <c r="Q167" s="106" t="s">
        <v>981</v>
      </c>
      <c r="R167" s="116"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67" s="85" t="b">
        <v>1</v>
      </c>
      <c r="T167" s="85" t="str">
        <f>IF(LEN(Table_ErrorList[[#This Row],[Message Bar Display]])&gt;$U$5,"Too Long, Characters = "&amp;LEN(Table_ErrorList[[#This Row],[Message Bar Display]])," ")</f>
        <v xml:space="preserve"> </v>
      </c>
      <c r="U167" s="85" t="str">
        <f>IF(LEN(Table_ErrorList[[#This Row],[Details Explanation (Line '#1)]])&gt;$U$5,"Too Long, Characters = "&amp;LEN(Table_ErrorList[[#This Row],[Details Explanation (Line '#1)]])," ")</f>
        <v xml:space="preserve"> </v>
      </c>
      <c r="V167" s="85" t="str">
        <f>IF(LEN(Table_ErrorList[[#This Row],[Details Explanation (Line '#2)]])&gt;$U$5,"Too Long, Characters = "&amp;LEN(Table_ErrorList[[#This Row],[Details Explanation (Line '#2)]])," ")</f>
        <v xml:space="preserve"> </v>
      </c>
    </row>
    <row r="168" spans="1:22" ht="30" x14ac:dyDescent="0.25">
      <c r="A168" s="107" t="e">
        <f>AND(
VLOOKUP(Others_Expense11,Table_Expenses[],MATCH(Table_Expenses[[#Headers],[ToRequired]],Table_Expenses[#Headers],0),FALSE),
OR(Others_To11=0,Others_To11="",Others_To11=Dropdown_NotSelectedValue),
COUNTA(Others_Date11,Others_Expense11,Others_Desc11, Others_From11, Others_Receipt11, Others_KM11)&gt;0)</f>
        <v>#N/A</v>
      </c>
      <c r="B168" s="107">
        <f ca="1">IFERROR(INDIRECT(Table_ErrorList[[#This Row],[Attention To Named Range]]),"Error")</f>
        <v>0</v>
      </c>
      <c r="C168" s="102">
        <v>1740</v>
      </c>
      <c r="D168" s="102" t="str">
        <f ca="1">IF(Table_ErrorList[[#This Row],[Manual Hierarchy]]="",CONCATENATE(TEXT(Table_ErrorList[[#This Row],[Section '#]],"00"),"-",TEXT(COUNTIF($E168:OFFSET(Table_ErrorList[[#Headers],[Section '#]],1,0,1,1),Table_ErrorList[[#This Row],[Section '#]]),"000")),Table_ErrorList[[#This Row],[Manual Hierarchy]])</f>
        <v>07-097</v>
      </c>
      <c r="E168" s="104">
        <v>7</v>
      </c>
      <c r="F168" s="104" t="str">
        <f>IFERROR(VLOOKUP(Table_ErrorList[[#This Row],[Section '#]],Table_SectionNames[],MATCH(Table_SectionNames[[#Headers],[Name]],Table_SectionNames[#Headers],0),FALSE),"Not found")</f>
        <v>Other Expenses</v>
      </c>
      <c r="G168" s="104"/>
      <c r="H168" s="107" t="str">
        <f>IFERROR(VLOOKUP(Table_ErrorList[[#This Row],[Attention To Named Range]],Table_NamedRanges[],MATCH(Table_NamedRanges[[#Headers],[Reference Type]],Table_NamedRanges[#Headers],0),FALSE),"Error")</f>
        <v>Single Cell</v>
      </c>
      <c r="I168" s="102" t="s">
        <v>700</v>
      </c>
      <c r="J168" s="107" t="str">
        <f>IF(Table_ErrorList[[#This Row],[Manual Reference]]="",Table_ErrorList[[#This Row],[''Attention To'' Refence]],Table_ErrorList[[#This Row],[Manual Reference]])&amp;","</f>
        <v>$T$37,</v>
      </c>
      <c r="K168" s="107" t="str">
        <f>SUBSTITUTE(SUBSTITUTE(VLOOKUP(Table_ErrorList[[#This Row],[Attention To Named Range]],Table_NamedRanges[],MATCH(Table_NamedRanges[[#Headers],[Reference Text]],Table_NamedRanges[#Headers],0),FALSE),"=",""),"'Travel Expense Summary'!","")</f>
        <v>$T$37</v>
      </c>
      <c r="L168" s="107"/>
      <c r="M168" s="85" t="s">
        <v>830</v>
      </c>
      <c r="N168" s="85" t="s">
        <v>1004</v>
      </c>
      <c r="O168" s="85" t="b">
        <v>1</v>
      </c>
      <c r="P168" s="106" t="s">
        <v>983</v>
      </c>
      <c r="Q168" s="106" t="s">
        <v>981</v>
      </c>
      <c r="R168" s="116"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68" s="85" t="b">
        <v>1</v>
      </c>
      <c r="T168" s="85" t="str">
        <f>IF(LEN(Table_ErrorList[[#This Row],[Message Bar Display]])&gt;$U$5,"Too Long, Characters = "&amp;LEN(Table_ErrorList[[#This Row],[Message Bar Display]])," ")</f>
        <v xml:space="preserve"> </v>
      </c>
      <c r="U168" s="85" t="str">
        <f>IF(LEN(Table_ErrorList[[#This Row],[Details Explanation (Line '#1)]])&gt;$U$5,"Too Long, Characters = "&amp;LEN(Table_ErrorList[[#This Row],[Details Explanation (Line '#1)]])," ")</f>
        <v xml:space="preserve"> </v>
      </c>
      <c r="V168" s="85" t="str">
        <f>IF(LEN(Table_ErrorList[[#This Row],[Details Explanation (Line '#2)]])&gt;$U$5,"Too Long, Characters = "&amp;LEN(Table_ErrorList[[#This Row],[Details Explanation (Line '#2)]])," ")</f>
        <v xml:space="preserve"> </v>
      </c>
    </row>
    <row r="169" spans="1:22" ht="33.75" x14ac:dyDescent="0.25">
      <c r="A169" s="107" t="e">
        <f>AND(
VLOOKUP(Others_Expense11,Table_Expenses[],MATCH(Table_Expenses[[#Headers],[ReceiptRequired]],Table_Expenses[#Headers],0),FALSE),
OR(Others_Receipt11=0,Others_Receipt11="",Others_Receipt11=Dropdown_NotSelectedValue),
COUNTA(Others_Date11,Others_Expense11,Others_Desc11, Others_From11, Others_To11, Others_KM11)&gt;0)</f>
        <v>#N/A</v>
      </c>
      <c r="B169" s="107">
        <f ca="1">IFERROR(INDIRECT(Table_ErrorList[[#This Row],[Attention To Named Range]]),"Error")</f>
        <v>0</v>
      </c>
      <c r="C169" s="102">
        <v>1750</v>
      </c>
      <c r="D169" s="102" t="str">
        <f ca="1">IF(Table_ErrorList[[#This Row],[Manual Hierarchy]]="",CONCATENATE(TEXT(Table_ErrorList[[#This Row],[Section '#]],"00"),"-",TEXT(COUNTIF($E169:OFFSET(Table_ErrorList[[#Headers],[Section '#]],1,0,1,1),Table_ErrorList[[#This Row],[Section '#]]),"000")),Table_ErrorList[[#This Row],[Manual Hierarchy]])</f>
        <v>07-098</v>
      </c>
      <c r="E169" s="104">
        <v>7</v>
      </c>
      <c r="F169" s="104" t="str">
        <f>IFERROR(VLOOKUP(Table_ErrorList[[#This Row],[Section '#]],Table_SectionNames[],MATCH(Table_SectionNames[[#Headers],[Name]],Table_SectionNames[#Headers],0),FALSE),"Not found")</f>
        <v>Other Expenses</v>
      </c>
      <c r="G169" s="104"/>
      <c r="H169" s="107" t="str">
        <f>IFERROR(VLOOKUP(Table_ErrorList[[#This Row],[Attention To Named Range]],Table_NamedRanges[],MATCH(Table_NamedRanges[[#Headers],[Reference Type]],Table_NamedRanges[#Headers],0),FALSE),"Error")</f>
        <v>Single Cell</v>
      </c>
      <c r="I169" s="102" t="s">
        <v>680</v>
      </c>
      <c r="J169" s="107" t="str">
        <f>IF(Table_ErrorList[[#This Row],[Manual Reference]]="",Table_ErrorList[[#This Row],[''Attention To'' Refence]],Table_ErrorList[[#This Row],[Manual Reference]])&amp;","</f>
        <v>$X$37,</v>
      </c>
      <c r="K169" s="107" t="str">
        <f>SUBSTITUTE(SUBSTITUTE(VLOOKUP(Table_ErrorList[[#This Row],[Attention To Named Range]],Table_NamedRanges[],MATCH(Table_NamedRanges[[#Headers],[Reference Text]],Table_NamedRanges[#Headers],0),FALSE),"=",""),"'Travel Expense Summary'!","")</f>
        <v>$X$37</v>
      </c>
      <c r="L169" s="107"/>
      <c r="M169" s="85" t="s">
        <v>831</v>
      </c>
      <c r="N169" s="85" t="s">
        <v>836</v>
      </c>
      <c r="O169" s="85" t="b">
        <v>1</v>
      </c>
      <c r="P169" s="106" t="s">
        <v>1079</v>
      </c>
      <c r="Q169" s="106" t="s">
        <v>728</v>
      </c>
      <c r="R169" s="116"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9" s="85" t="b">
        <v>1</v>
      </c>
      <c r="T169" s="85" t="str">
        <f>IF(LEN(Table_ErrorList[[#This Row],[Message Bar Display]])&gt;$U$5,"Too Long, Characters = "&amp;LEN(Table_ErrorList[[#This Row],[Message Bar Display]])," ")</f>
        <v xml:space="preserve"> </v>
      </c>
      <c r="U169" s="85" t="str">
        <f>IF(LEN(Table_ErrorList[[#This Row],[Details Explanation (Line '#1)]])&gt;$U$5,"Too Long, Characters = "&amp;LEN(Table_ErrorList[[#This Row],[Details Explanation (Line '#1)]])," ")</f>
        <v xml:space="preserve"> </v>
      </c>
      <c r="V169" s="85" t="str">
        <f>IF(LEN(Table_ErrorList[[#This Row],[Details Explanation (Line '#2)]])&gt;$U$5,"Too Long, Characters = "&amp;LEN(Table_ErrorList[[#This Row],[Details Explanation (Line '#2)]])," ")</f>
        <v xml:space="preserve"> </v>
      </c>
    </row>
    <row r="170" spans="1:22" s="32" customFormat="1" ht="45" x14ac:dyDescent="0.25">
      <c r="A170" s="107" t="e">
        <f>AND(
VLOOKUP(Others_Expense11,Table_Expenses[],MATCH(Table_Expenses[[#Headers],[KMRequired]],Table_Expenses[#Headers],0),FALSE),
OR(Others_KM11=0,Others_KM11="",Others_KM11=Dropdown_NotSelectedValue),
COUNTA(Others_Date11,Others_Expense11,Others_Desc11, Others_From11, Others_To11, Others_Receipt11)&gt;0)</f>
        <v>#N/A</v>
      </c>
      <c r="B170" s="107">
        <f ca="1">IFERROR(INDIRECT(Table_ErrorList[[#This Row],[Attention To Named Range]]),"Error")</f>
        <v>0</v>
      </c>
      <c r="C170" s="102">
        <v>1760</v>
      </c>
      <c r="D170" s="102" t="str">
        <f ca="1">IF(Table_ErrorList[[#This Row],[Manual Hierarchy]]="",CONCATENATE(TEXT(Table_ErrorList[[#This Row],[Section '#]],"00"),"-",TEXT(COUNTIF($E170:OFFSET(Table_ErrorList[[#Headers],[Section '#]],1,0,1,1),Table_ErrorList[[#This Row],[Section '#]]),"000")),Table_ErrorList[[#This Row],[Manual Hierarchy]])</f>
        <v>07-099</v>
      </c>
      <c r="E170" s="104">
        <v>7</v>
      </c>
      <c r="F170" s="104" t="str">
        <f>IFERROR(VLOOKUP(Table_ErrorList[[#This Row],[Section '#]],Table_SectionNames[],MATCH(Table_SectionNames[[#Headers],[Name]],Table_SectionNames[#Headers],0),FALSE),"Not found")</f>
        <v>Other Expenses</v>
      </c>
      <c r="G170" s="104"/>
      <c r="H170" s="107" t="str">
        <f>IFERROR(VLOOKUP(Table_ErrorList[[#This Row],[Attention To Named Range]],Table_NamedRanges[],MATCH(Table_NamedRanges[[#Headers],[Reference Type]],Table_NamedRanges[#Headers],0),FALSE),"Error")</f>
        <v>Single Cell</v>
      </c>
      <c r="I170" s="102" t="s">
        <v>658</v>
      </c>
      <c r="J170" s="107" t="str">
        <f>IF(Table_ErrorList[[#This Row],[Manual Reference]]="",Table_ErrorList[[#This Row],[''Attention To'' Refence]],Table_ErrorList[[#This Row],[Manual Reference]])&amp;","</f>
        <v>$Y$37,</v>
      </c>
      <c r="K170" s="107" t="str">
        <f>SUBSTITUTE(SUBSTITUTE(VLOOKUP(Table_ErrorList[[#This Row],[Attention To Named Range]],Table_NamedRanges[],MATCH(Table_NamedRanges[[#Headers],[Reference Text]],Table_NamedRanges[#Headers],0),FALSE),"=",""),"'Travel Expense Summary'!","")</f>
        <v>$Y$37</v>
      </c>
      <c r="L170" s="107"/>
      <c r="M170" s="85" t="s">
        <v>832</v>
      </c>
      <c r="N170" s="85" t="s">
        <v>837</v>
      </c>
      <c r="O170" s="85" t="b">
        <v>1</v>
      </c>
      <c r="P170" s="106" t="s">
        <v>892</v>
      </c>
      <c r="Q170" s="106" t="s">
        <v>893</v>
      </c>
      <c r="R170" s="116"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70" s="85" t="b">
        <v>1</v>
      </c>
      <c r="T170" s="85" t="str">
        <f>IF(LEN(Table_ErrorList[[#This Row],[Message Bar Display]])&gt;$U$5,"Too Long, Characters = "&amp;LEN(Table_ErrorList[[#This Row],[Message Bar Display]])," ")</f>
        <v xml:space="preserve"> </v>
      </c>
      <c r="U170" s="85" t="str">
        <f>IF(LEN(Table_ErrorList[[#This Row],[Details Explanation (Line '#1)]])&gt;$U$5,"Too Long, Characters = "&amp;LEN(Table_ErrorList[[#This Row],[Details Explanation (Line '#1)]])," ")</f>
        <v xml:space="preserve"> </v>
      </c>
      <c r="V170" s="85" t="str">
        <f>IF(LEN(Table_ErrorList[[#This Row],[Details Explanation (Line '#2)]])&gt;$U$5,"Too Long, Characters = "&amp;LEN(Table_ErrorList[[#This Row],[Details Explanation (Line '#2)]])," ")</f>
        <v xml:space="preserve"> </v>
      </c>
    </row>
    <row r="171" spans="1:22" s="32" customFormat="1" ht="45" x14ac:dyDescent="0.25">
      <c r="A171" s="107" t="b">
        <f ca="1">OR(ISBLANK(Table_ErrorList[[#This Row],[Relevant Cell Value]]),Table_ErrorList[[#This Row],[Relevant Cell Value]]=Dropdown_NotSelectedValue,Table_ErrorList[[#This Row],[Relevant Cell Value]]=0)</f>
        <v>1</v>
      </c>
      <c r="B171" s="107">
        <f ca="1">IFERROR(INDIRECT(Table_ErrorList[[#This Row],[Attention To Named Range]]),"Error")</f>
        <v>0</v>
      </c>
      <c r="C171" s="102">
        <v>1761</v>
      </c>
      <c r="D171" s="102" t="str">
        <f ca="1">IF(Table_ErrorList[[#This Row],[Manual Hierarchy]]="",CONCATENATE(TEXT(Table_ErrorList[[#This Row],[Section '#]],"00"),"-",TEXT(COUNTIF($E171:OFFSET(Table_ErrorList[[#Headers],[Section '#]],1,0,1,1),Table_ErrorList[[#This Row],[Section '#]]),"000")),Table_ErrorList[[#This Row],[Manual Hierarchy]])</f>
        <v>07-097</v>
      </c>
      <c r="E171" s="104">
        <v>90</v>
      </c>
      <c r="F171" s="104" t="str">
        <f>IFERROR(VLOOKUP(Table_ErrorList[[#This Row],[Section '#]],Table_SectionNames[],MATCH(Table_SectionNames[[#Headers],[Name]],Table_SectionNames[#Headers],0),FALSE),"Not found")</f>
        <v>Submission Date</v>
      </c>
      <c r="G171" s="104" t="s">
        <v>1170</v>
      </c>
      <c r="H171" s="107" t="str">
        <f>IFERROR(VLOOKUP(Table_ErrorList[[#This Row],[Attention To Named Range]],Table_NamedRanges[],MATCH(Table_NamedRanges[[#Headers],[Reference Type]],Table_NamedRanges[#Headers],0),FALSE),"Error")</f>
        <v>Single Cell</v>
      </c>
      <c r="I171" s="102" t="s">
        <v>904</v>
      </c>
      <c r="J171" s="107" t="str">
        <f>IF(Table_ErrorList[[#This Row],[Manual Reference]]="",Table_ErrorList[[#This Row],[''Attention To'' Refence]],Table_ErrorList[[#This Row],[Manual Reference]])&amp;","</f>
        <v>$U$43,</v>
      </c>
      <c r="K171" s="107" t="str">
        <f>SUBSTITUTE(SUBSTITUTE(VLOOKUP(Table_ErrorList[[#This Row],[Attention To Named Range]],Table_NamedRanges[],MATCH(Table_NamedRanges[[#Headers],[Reference Text]],Table_NamedRanges[#Headers],0),FALSE),"=",""),"'Travel Expense Summary'!","")</f>
        <v>$U$43</v>
      </c>
      <c r="L171" s="107"/>
      <c r="M171" s="85"/>
      <c r="N171" s="85" t="s">
        <v>923</v>
      </c>
      <c r="O171" s="85" t="b">
        <v>1</v>
      </c>
      <c r="P171" s="106" t="s">
        <v>933</v>
      </c>
      <c r="Q171" s="106" t="s">
        <v>921</v>
      </c>
      <c r="R171" s="109" t="str">
        <f>CONCATENATE(Table_ErrorList[[#This Row],[Details Explanation (Line '#1)]],IF(Table_ErrorList[[#This Row],[Details Explanation (Line '#2)]]&lt;&gt;"",CHAR(10)&amp;Table_ErrorList[[#This Row],[Details Explanation (Line '#2)]],""))</f>
        <v>Enter the 'Submission Date' within 3 months of the travel end date in any format recognizable by Excel.
For example, it could be entered in full (ie. January 1, 2000) or it can be entered as DD/MM/YY or YYYY/MM/DD.</v>
      </c>
      <c r="S171" s="85" t="b">
        <v>1</v>
      </c>
      <c r="T171" s="85" t="str">
        <f>IF(LEN(Table_ErrorList[[#This Row],[Message Bar Display]])&gt;$U$5,"Too Long, Characters = "&amp;LEN(Table_ErrorList[[#This Row],[Message Bar Display]])," ")</f>
        <v xml:space="preserve"> </v>
      </c>
      <c r="U171" s="85" t="str">
        <f>IF(LEN(Table_ErrorList[[#This Row],[Details Explanation (Line '#1)]])&gt;$U$5,"Too Long, Characters = "&amp;LEN(Table_ErrorList[[#This Row],[Details Explanation (Line '#1)]])," ")</f>
        <v xml:space="preserve"> </v>
      </c>
      <c r="V171" s="85" t="str">
        <f>IF(LEN(Table_ErrorList[[#This Row],[Details Explanation (Line '#2)]])&gt;$U$5,"Too Long, Characters = "&amp;LEN(Table_ErrorList[[#This Row],[Details Explanation (Line '#2)]])," ")</f>
        <v xml:space="preserve"> </v>
      </c>
    </row>
    <row r="172" spans="1:22" s="32" customFormat="1" ht="22.5" x14ac:dyDescent="0.25">
      <c r="A172" s="107" t="b">
        <f>DATE(YEAR(Field16_TravelEndDate),MONTH(Field16_TravelEndDate)+3,DAY(Field16_TravelEndDate))&lt;=Authorization_SubmissionDate</f>
        <v>0</v>
      </c>
      <c r="B172" s="107">
        <f ca="1">IFERROR(INDIRECT(Table_ErrorList[[#This Row],[Attention To Named Range]]),"Error")</f>
        <v>0</v>
      </c>
      <c r="C172" s="102">
        <v>1762</v>
      </c>
      <c r="D172" s="102" t="str">
        <f ca="1">IF(Table_ErrorList[[#This Row],[Manual Hierarchy]]="",CONCATENATE(TEXT(Table_ErrorList[[#This Row],[Section '#]],"00"),"-",TEXT(COUNTIF($E172:OFFSET(Table_ErrorList[[#Headers],[Section '#]],1,0,1,1),Table_ErrorList[[#This Row],[Section '#]]),"000")),Table_ErrorList[[#This Row],[Manual Hierarchy]])</f>
        <v>07-098</v>
      </c>
      <c r="E172" s="104">
        <v>90</v>
      </c>
      <c r="F172" s="104" t="str">
        <f>IFERROR(VLOOKUP(Table_ErrorList[[#This Row],[Section '#]],Table_SectionNames[],MATCH(Table_SectionNames[[#Headers],[Name]],Table_SectionNames[#Headers],0),FALSE),"Not found")</f>
        <v>Submission Date</v>
      </c>
      <c r="G172" s="104" t="s">
        <v>1128</v>
      </c>
      <c r="H172" s="107" t="str">
        <f>IFERROR(VLOOKUP(Table_ErrorList[[#This Row],[Attention To Named Range]],Table_NamedRanges[],MATCH(Table_NamedRanges[[#Headers],[Reference Type]],Table_NamedRanges[#Headers],0),FALSE),"Error")</f>
        <v>Single Cell</v>
      </c>
      <c r="I172" s="102" t="s">
        <v>904</v>
      </c>
      <c r="J172" s="107" t="str">
        <f>IF(Table_ErrorList[[#This Row],[Manual Reference]]="",Table_ErrorList[[#This Row],[''Attention To'' Refence]],Table_ErrorList[[#This Row],[Manual Reference]])&amp;","</f>
        <v>$U$43,$C$32,</v>
      </c>
      <c r="K172" s="107" t="str">
        <f>SUBSTITUTE(SUBSTITUTE(VLOOKUP(Table_ErrorList[[#This Row],[Attention To Named Range]],Table_NamedRanges[],MATCH(Table_NamedRanges[[#Headers],[Reference Text]],Table_NamedRanges[#Headers],0),FALSE),"=",""),"'Travel Expense Summary'!","")</f>
        <v>$U$43</v>
      </c>
      <c r="L172" s="107" t="s">
        <v>1173</v>
      </c>
      <c r="M172" s="85"/>
      <c r="N172" s="85" t="s">
        <v>1171</v>
      </c>
      <c r="O172" s="85" t="b">
        <v>1</v>
      </c>
      <c r="P172" s="106" t="s">
        <v>1172</v>
      </c>
      <c r="Q172" s="106"/>
      <c r="R172" s="109" t="str">
        <f>CONCATENATE(Table_ErrorList[[#This Row],[Details Explanation (Line '#1)]],IF(Table_ErrorList[[#This Row],[Details Explanation (Line '#2)]]&lt;&gt;"",CHAR(10)&amp;Table_ErrorList[[#This Row],[Details Explanation (Line '#2)]],""))</f>
        <v xml:space="preserve">The 'Submission Date' must be within 3 months of the 'Travel End Date' for your travel claim to be eligible for reimbursement. </v>
      </c>
      <c r="S172" s="85" t="b">
        <v>1</v>
      </c>
      <c r="T172" s="107" t="str">
        <f>IF(LEN(Table_ErrorList[[#This Row],[Message Bar Display]])&gt;$U$5,"Too Long, Characters = "&amp;LEN(Table_ErrorList[[#This Row],[Message Bar Display]])," ")</f>
        <v xml:space="preserve"> </v>
      </c>
      <c r="U172" s="107" t="str">
        <f>IF(LEN(Table_ErrorList[[#This Row],[Details Explanation (Line '#1)]])&gt;$U$5,"Too Long, Characters = "&amp;LEN(Table_ErrorList[[#This Row],[Details Explanation (Line '#1)]])," ")</f>
        <v xml:space="preserve"> </v>
      </c>
      <c r="V172" s="107" t="str">
        <f>IF(LEN(Table_ErrorList[[#This Row],[Details Explanation (Line '#2)]])&gt;$U$5,"Too Long, Characters = "&amp;LEN(Table_ErrorList[[#This Row],[Details Explanation (Line '#2)]])," ")</f>
        <v xml:space="preserve"> </v>
      </c>
    </row>
    <row r="173" spans="1:22" s="32" customFormat="1" ht="45" x14ac:dyDescent="0.25">
      <c r="A173" s="117" t="b">
        <f ca="1">AND(COUNTIF(Error_OffsetRef:A171,TRUE)=0,COUNTA(Field30_MaximumAmount,Field31_MaximumReason,ClaimAllocation_Amount1,ClaimAllocation_Amount2,ClaimAllocation_Amount3,ClaimAllocation_Amount4,ClaimAllocation_GL1,ClaimAllocation_GL2,ClaimAllocation_GL3,ClaimAllocation_GL4)=0)</f>
        <v>0</v>
      </c>
      <c r="B173" s="117" t="str">
        <f ca="1">IFERROR(INDIRECT(Table_ErrorList[[#This Row],[Attention To Named Range]]),"Error")</f>
        <v>Error</v>
      </c>
      <c r="C173" s="118">
        <v>1770</v>
      </c>
      <c r="D173" s="118" t="str">
        <f ca="1">IF(Table_ErrorList[[#This Row],[Manual Hierarchy]]="",CONCATENATE(TEXT(Table_ErrorList[[#This Row],[Section '#]],"00"),"-",TEXT(COUNTIF($E173:OFFSET(Table_ErrorList[[#Headers],[Section '#]],1,0,1,1),Table_ErrorList[[#This Row],[Section '#]]),"000")),Table_ErrorList[[#This Row],[Manual Hierarchy]])</f>
        <v>07-999</v>
      </c>
      <c r="E173" s="119">
        <v>98</v>
      </c>
      <c r="F173" s="119" t="str">
        <f>IFERROR(VLOOKUP(Table_ErrorList[[#This Row],[Section '#]],Table_SectionNames[],MATCH(Table_SectionNames[[#Headers],[Name]],Table_SectionNames[#Headers],0),FALSE),"Not found")</f>
        <v>Milestone #1</v>
      </c>
      <c r="G173" s="119" t="s">
        <v>957</v>
      </c>
      <c r="H173" s="117" t="str">
        <f>IFERROR(VLOOKUP(Table_ErrorList[[#This Row],[Attention To Named Range]],Table_NamedRanges[],MATCH(Table_NamedRanges[[#Headers],[Reference Type]],Table_NamedRanges[#Headers],0),FALSE),"Error")</f>
        <v>Error</v>
      </c>
      <c r="I173" s="118"/>
      <c r="J173" s="117" t="e">
        <f>IF(Table_ErrorList[[#This Row],[Manual Reference]]="",Table_ErrorList[[#This Row],[''Attention To'' Refence]],Table_ErrorList[[#This Row],[Manual Reference]])&amp;","</f>
        <v>#N/A</v>
      </c>
      <c r="K173" s="117" t="e">
        <f>SUBSTITUTE(SUBSTITUTE(VLOOKUP(Table_ErrorList[[#This Row],[Attention To Named Range]],Table_NamedRanges[],MATCH(Table_NamedRanges[[#Headers],[Reference Text]],Table_NamedRanges[#Headers],0),FALSE),"=",""),"'Travel Expense Summary'!","")</f>
        <v>#N/A</v>
      </c>
      <c r="L173" s="117"/>
      <c r="M173" s="120" t="s">
        <v>1154</v>
      </c>
      <c r="N173" s="120" t="str">
        <f ca="1">"You have successfully included "&amp;TEXT(ROUND(COUNTIF(ReceiptAreaMeals,"&gt;0")+COUNTIF(Other_TotalArray,"&gt;0"),0),"##")&amp;" items totalling "&amp;TEXT(ROUND(Total_ExpenseClaimed,2),"$#,###.00")&amp;"."</f>
        <v>You have successfully included  items totalling $.00.</v>
      </c>
      <c r="O173" s="120" t="b">
        <v>0</v>
      </c>
      <c r="P173" s="121" t="s">
        <v>897</v>
      </c>
      <c r="Q173" s="121" t="s">
        <v>898</v>
      </c>
      <c r="R173" s="122" t="str">
        <f>CONCATENATE(Table_ErrorList[[#This Row],[Details Explanation (Line '#1)]],IF(Table_ErrorList[[#This Row],[Details Explanation (Line '#2)]]&lt;&gt;"",CHAR(10)&amp;Table_ErrorList[[#This Row],[Details Explanation (Line '#2)]],""))</f>
        <v>If this is all your claim items, forward your claim to the appropriate individual for review and approval.
If this is not all your items, continue completing '6.0 Meals' and '7.0 Other Expenses'.</v>
      </c>
      <c r="S173" s="120" t="b">
        <v>0</v>
      </c>
      <c r="T173" s="85" t="str">
        <f ca="1">IF(LEN(Table_ErrorList[[#This Row],[Message Bar Display]])&gt;$U$5,"Too Long, Characters = "&amp;LEN(Table_ErrorList[[#This Row],[Message Bar Display]])," ")</f>
        <v xml:space="preserve"> </v>
      </c>
      <c r="U173" s="85" t="str">
        <f>IF(LEN(Table_ErrorList[[#This Row],[Details Explanation (Line '#1)]])&gt;$U$5,"Too Long, Characters = "&amp;LEN(Table_ErrorList[[#This Row],[Details Explanation (Line '#1)]])," ")</f>
        <v xml:space="preserve"> </v>
      </c>
      <c r="V173" s="85" t="str">
        <f>IF(LEN(Table_ErrorList[[#This Row],[Details Explanation (Line '#2)]])&gt;$U$5,"Too Long, Characters = "&amp;LEN(Table_ErrorList[[#This Row],[Details Explanation (Line '#2)]])," ")</f>
        <v xml:space="preserve"> </v>
      </c>
    </row>
    <row r="174" spans="1:22" s="32" customFormat="1" ht="33.75" x14ac:dyDescent="0.25">
      <c r="A174" s="107" t="b">
        <f>IF(COUNTA(Field30_MaximumAmount,Field31_MaximumReason)&gt;0,
IF(COUNTA(Field31_MaximumReason)&gt;0,OR(ISBLANK(Table_ErrorList[[#This Row],[Relevant Cell Value]]),Table_ErrorList[[#This Row],[Relevant Cell Value]]=Dropdown_NotSelectedValue,Table_ErrorList[[#This Row],[Relevant Cell Value]]=0),FALSE),FALSE)</f>
        <v>0</v>
      </c>
      <c r="B174" s="107">
        <f ca="1">IFERROR(INDIRECT(Table_ErrorList[[#This Row],[Attention To Named Range]]),"Error")</f>
        <v>0</v>
      </c>
      <c r="C174" s="102">
        <v>1797</v>
      </c>
      <c r="D174" s="102" t="str">
        <f ca="1">IF(Table_ErrorList[[#This Row],[Manual Hierarchy]]="",CONCATENATE(TEXT(Table_ErrorList[[#This Row],[Section '#]],"00"),"-",TEXT(COUNTIF($E174:OFFSET(Table_ErrorList[[#Headers],[Section '#]],1,0,1,1),Table_ErrorList[[#This Row],[Section '#]]),"000")),Table_ErrorList[[#This Row],[Manual Hierarchy]])</f>
        <v>08-001</v>
      </c>
      <c r="E174" s="104">
        <v>8</v>
      </c>
      <c r="F174" s="104" t="str">
        <f>IFERROR(VLOOKUP(Table_ErrorList[[#This Row],[Section '#]],Table_SectionNames[],MATCH(Table_SectionNames[[#Headers],[Name]],Table_SectionNames[#Headers],0),FALSE),"Not found")</f>
        <v>Funding Maximum (if applicable)</v>
      </c>
      <c r="G174" s="104"/>
      <c r="H174" s="107" t="str">
        <f>IFERROR(VLOOKUP(Table_ErrorList[[#This Row],[Attention To Named Range]],Table_NamedRanges[],MATCH(Table_NamedRanges[[#Headers],[Reference Type]],Table_NamedRanges[#Headers],0),FALSE),"Error")</f>
        <v>Single Cell</v>
      </c>
      <c r="I174" s="102" t="s">
        <v>515</v>
      </c>
      <c r="J174" s="107" t="str">
        <f>IF(Table_ErrorList[[#This Row],[Manual Reference]]="",Table_ErrorList[[#This Row],[''Attention To'' Refence]],Table_ErrorList[[#This Row],[Manual Reference]])&amp;","</f>
        <v>$F$42,</v>
      </c>
      <c r="K174" s="107" t="str">
        <f>SUBSTITUTE(SUBSTITUTE(VLOOKUP(Table_ErrorList[[#This Row],[Attention To Named Range]],Table_NamedRanges[],MATCH(Table_NamedRanges[[#Headers],[Reference Text]],Table_NamedRanges[#Headers],0),FALSE),"=",""),"'Travel Expense Summary'!","")</f>
        <v>$F$42</v>
      </c>
      <c r="L174" s="107"/>
      <c r="M174" s="85"/>
      <c r="N174" s="85" t="s">
        <v>913</v>
      </c>
      <c r="O174" s="85" t="b">
        <v>1</v>
      </c>
      <c r="P174" s="106" t="s">
        <v>914</v>
      </c>
      <c r="Q174" s="106" t="s">
        <v>934</v>
      </c>
      <c r="R174" s="116" t="str">
        <f>CONCATENATE(Table_ErrorList[[#This Row],[Details Explanation (Line '#1)]],IF(Table_ErrorList[[#This Row],[Details Explanation (Line '#2)]]&lt;&gt;"",CHAR(10)&amp;Table_ErrorList[[#This Row],[Details Explanation (Line '#2)]],""))</f>
        <v>Enter an amount greater than zero.
Use a period ("100.00") as a decimal point as opposed to a comma ("100,00").</v>
      </c>
      <c r="S174" s="85" t="b">
        <v>1</v>
      </c>
      <c r="T174" s="85" t="str">
        <f>IF(LEN(Table_ErrorList[[#This Row],[Message Bar Display]])&gt;$U$5,"Too Long, Characters = "&amp;LEN(Table_ErrorList[[#This Row],[Message Bar Display]])," ")</f>
        <v xml:space="preserve"> </v>
      </c>
      <c r="U174" s="85" t="str">
        <f>IF(LEN(Table_ErrorList[[#This Row],[Details Explanation (Line '#1)]])&gt;$U$5,"Too Long, Characters = "&amp;LEN(Table_ErrorList[[#This Row],[Details Explanation (Line '#1)]])," ")</f>
        <v xml:space="preserve"> </v>
      </c>
      <c r="V174" s="85" t="str">
        <f>IF(LEN(Table_ErrorList[[#This Row],[Details Explanation (Line '#2)]])&gt;$U$5,"Too Long, Characters = "&amp;LEN(Table_ErrorList[[#This Row],[Details Explanation (Line '#2)]])," ")</f>
        <v xml:space="preserve"> </v>
      </c>
    </row>
    <row r="175" spans="1:22" s="32" customFormat="1" ht="30" x14ac:dyDescent="0.25">
      <c r="A175" s="107" t="b">
        <f ca="1">Field30_MaximumAmount&gt;Total_Eligible</f>
        <v>0</v>
      </c>
      <c r="B175" s="107">
        <f ca="1">IFERROR(INDIRECT(Table_ErrorList[[#This Row],[Attention To Named Range]]),"Error")</f>
        <v>0</v>
      </c>
      <c r="C175" s="102">
        <v>1797.1</v>
      </c>
      <c r="D175" s="102" t="str">
        <f ca="1">IF(Table_ErrorList[[#This Row],[Manual Hierarchy]]="",CONCATENATE(TEXT(Table_ErrorList[[#This Row],[Section '#]],"00"),"-",TEXT(COUNTIF($E175:OFFSET(Table_ErrorList[[#Headers],[Section '#]],1,0,1,1),Table_ErrorList[[#This Row],[Section '#]]),"000")),Table_ErrorList[[#This Row],[Manual Hierarchy]])</f>
        <v>08-002</v>
      </c>
      <c r="E175" s="104">
        <v>8</v>
      </c>
      <c r="F175" s="104" t="str">
        <f>IFERROR(VLOOKUP(Table_ErrorList[[#This Row],[Section '#]],Table_SectionNames[],MATCH(Table_SectionNames[[#Headers],[Name]],Table_SectionNames[#Headers],0),FALSE),"Not found")</f>
        <v>Funding Maximum (if applicable)</v>
      </c>
      <c r="G175" s="104"/>
      <c r="H175" s="107" t="str">
        <f>IFERROR(VLOOKUP(Table_ErrorList[[#This Row],[Attention To Named Range]],Table_NamedRanges[],MATCH(Table_NamedRanges[[#Headers],[Reference Type]],Table_NamedRanges[#Headers],0),FALSE),"Error")</f>
        <v>Single Cell</v>
      </c>
      <c r="I175" s="102" t="s">
        <v>515</v>
      </c>
      <c r="J175" s="107" t="str">
        <f>IF(Table_ErrorList[[#This Row],[Manual Reference]]="",Table_ErrorList[[#This Row],[''Attention To'' Refence]],Table_ErrorList[[#This Row],[Manual Reference]])&amp;","</f>
        <v>$F$42,</v>
      </c>
      <c r="K175" s="107" t="str">
        <f>SUBSTITUTE(SUBSTITUTE(VLOOKUP(Table_ErrorList[[#This Row],[Attention To Named Range]],Table_NamedRanges[],MATCH(Table_NamedRanges[[#Headers],[Reference Text]],Table_NamedRanges[#Headers],0),FALSE),"=",""),"'Travel Expense Summary'!","")</f>
        <v>$F$42</v>
      </c>
      <c r="L175" s="107"/>
      <c r="M175" s="85" t="s">
        <v>910</v>
      </c>
      <c r="N175" s="85" t="s">
        <v>911</v>
      </c>
      <c r="O175" s="85" t="b">
        <v>1</v>
      </c>
      <c r="P175" s="106" t="s">
        <v>912</v>
      </c>
      <c r="Q175" s="106"/>
      <c r="R175" s="109" t="str">
        <f>CONCATENATE(Table_ErrorList[[#This Row],[Details Explanation (Line '#1)]],IF(Table_ErrorList[[#This Row],[Details Explanation (Line '#2)]]&lt;&gt;"",CHAR(10)&amp;Table_ErrorList[[#This Row],[Details Explanation (Line '#2)]],""))</f>
        <v>Review the amount entered as the 'Funding Maximum Amount' and remove if it is not required.</v>
      </c>
      <c r="S175" s="85" t="b">
        <v>1</v>
      </c>
      <c r="T175" s="85" t="str">
        <f>IF(LEN(Table_ErrorList[[#This Row],[Message Bar Display]])&gt;$U$5,"Too Long, Characters = "&amp;LEN(Table_ErrorList[[#This Row],[Message Bar Display]])," ")</f>
        <v xml:space="preserve"> </v>
      </c>
      <c r="U175" s="85" t="str">
        <f>IF(LEN(Table_ErrorList[[#This Row],[Details Explanation (Line '#1)]])&gt;$U$5,"Too Long, Characters = "&amp;LEN(Table_ErrorList[[#This Row],[Details Explanation (Line '#1)]])," ")</f>
        <v xml:space="preserve"> </v>
      </c>
      <c r="V175" s="85" t="str">
        <f>IF(LEN(Table_ErrorList[[#This Row],[Details Explanation (Line '#2)]])&gt;$U$5,"Too Long, Characters = "&amp;LEN(Table_ErrorList[[#This Row],[Details Explanation (Line '#2)]])," ")</f>
        <v xml:space="preserve"> </v>
      </c>
    </row>
    <row r="176" spans="1:22" ht="30" x14ac:dyDescent="0.25">
      <c r="A176" s="107" t="b">
        <f>IF(COUNTA(Field30_MaximumAmount,Field31_MaximumReason)&gt;0,
IF(COUNTA(Field30_MaximumAmount)&gt;0,OR(ISBLANK(Table_ErrorList[[#This Row],[Relevant Cell Value]]),Table_ErrorList[[#This Row],[Relevant Cell Value]]=Dropdown_NotSelectedValue,Table_ErrorList[[#This Row],[Relevant Cell Value]]=0),FALSE),FALSE)</f>
        <v>0</v>
      </c>
      <c r="B176" s="107">
        <f ca="1">IFERROR(INDIRECT(Table_ErrorList[[#This Row],[Attention To Named Range]]),"Error")</f>
        <v>0</v>
      </c>
      <c r="C176" s="102">
        <v>1798</v>
      </c>
      <c r="D176" s="102" t="str">
        <f ca="1">IF(Table_ErrorList[[#This Row],[Manual Hierarchy]]="",CONCATENATE(TEXT(Table_ErrorList[[#This Row],[Section '#]],"00"),"-",TEXT(COUNTIF($E176:OFFSET(Table_ErrorList[[#Headers],[Section '#]],1,0,1,1),Table_ErrorList[[#This Row],[Section '#]]),"000")),Table_ErrorList[[#This Row],[Manual Hierarchy]])</f>
        <v>08-003</v>
      </c>
      <c r="E176" s="104">
        <v>8</v>
      </c>
      <c r="F176" s="104" t="str">
        <f>IFERROR(VLOOKUP(Table_ErrorList[[#This Row],[Section '#]],Table_SectionNames[],MATCH(Table_SectionNames[[#Headers],[Name]],Table_SectionNames[#Headers],0),FALSE),"Not found")</f>
        <v>Funding Maximum (if applicable)</v>
      </c>
      <c r="G176" s="104"/>
      <c r="H176" s="107" t="str">
        <f>IFERROR(VLOOKUP(Table_ErrorList[[#This Row],[Attention To Named Range]],Table_NamedRanges[],MATCH(Table_NamedRanges[[#Headers],[Reference Type]],Table_NamedRanges[#Headers],0),FALSE),"Error")</f>
        <v>Single Cell</v>
      </c>
      <c r="I176" s="102" t="s">
        <v>516</v>
      </c>
      <c r="J176" s="107" t="str">
        <f>IF(Table_ErrorList[[#This Row],[Manual Reference]]="",Table_ErrorList[[#This Row],[''Attention To'' Refence]],Table_ErrorList[[#This Row],[Manual Reference]])&amp;","</f>
        <v>$C$43,</v>
      </c>
      <c r="K176" s="107" t="str">
        <f>SUBSTITUTE(SUBSTITUTE(VLOOKUP(Table_ErrorList[[#This Row],[Attention To Named Range]],Table_NamedRanges[],MATCH(Table_NamedRanges[[#Headers],[Reference Text]],Table_NamedRanges[#Headers],0),FALSE),"=",""),"'Travel Expense Summary'!","")</f>
        <v>$C$43</v>
      </c>
      <c r="L176" s="107"/>
      <c r="M176" s="85"/>
      <c r="N176" s="85" t="s">
        <v>915</v>
      </c>
      <c r="O176" s="85" t="b">
        <v>1</v>
      </c>
      <c r="P176" s="106" t="s">
        <v>1121</v>
      </c>
      <c r="Q176" s="106"/>
      <c r="R176" s="116" t="str">
        <f>CONCATENATE(Table_ErrorList[[#This Row],[Details Explanation (Line '#1)]],IF(Table_ErrorList[[#This Row],[Details Explanation (Line '#2)]]&lt;&gt;"",CHAR(10)&amp;Table_ErrorList[[#This Row],[Details Explanation (Line '#2)]],""))</f>
        <v xml:space="preserve">This is a free text field with an 80 character limit. </v>
      </c>
      <c r="S176" s="85" t="b">
        <v>1</v>
      </c>
      <c r="T176" s="85" t="str">
        <f>IF(LEN(Table_ErrorList[[#This Row],[Message Bar Display]])&gt;$U$5,"Too Long, Characters = "&amp;LEN(Table_ErrorList[[#This Row],[Message Bar Display]])," ")</f>
        <v xml:space="preserve"> </v>
      </c>
      <c r="U176" s="85" t="str">
        <f>IF(LEN(Table_ErrorList[[#This Row],[Details Explanation (Line '#1)]])&gt;$U$5,"Too Long, Characters = "&amp;LEN(Table_ErrorList[[#This Row],[Details Explanation (Line '#1)]])," ")</f>
        <v xml:space="preserve"> </v>
      </c>
      <c r="V176" s="85" t="str">
        <f>IF(LEN(Table_ErrorList[[#This Row],[Details Explanation (Line '#2)]])&gt;$U$5,"Too Long, Characters = "&amp;LEN(Table_ErrorList[[#This Row],[Details Explanation (Line '#2)]])," ")</f>
        <v xml:space="preserve"> </v>
      </c>
    </row>
    <row r="177" spans="1:22" s="32" customFormat="1" ht="30" x14ac:dyDescent="0.25">
      <c r="A177" s="107" t="b">
        <f>IFERROR(MODE(ClaimAllocation_GLArray)&gt;0,FALSE)</f>
        <v>0</v>
      </c>
      <c r="B177" s="107" t="str">
        <f ca="1">IFERROR(INDIRECT(Table_ErrorList[[#This Row],[Attention To Named Range]]),"Error")</f>
        <v>Error</v>
      </c>
      <c r="C177" s="102">
        <v>1799</v>
      </c>
      <c r="D177" s="102" t="str">
        <f ca="1">IF(Table_ErrorList[[#This Row],[Manual Hierarchy]]="",CONCATENATE(TEXT(Table_ErrorList[[#This Row],[Section '#]],"00"),"-",TEXT(COUNTIF($E177:OFFSET(Table_ErrorList[[#Headers],[Section '#]],1,0,1,1),Table_ErrorList[[#This Row],[Section '#]]),"000")),Table_ErrorList[[#This Row],[Manual Hierarchy]])</f>
        <v>10-001</v>
      </c>
      <c r="E177" s="104">
        <v>10</v>
      </c>
      <c r="F177" s="104" t="str">
        <f>IFERROR(VLOOKUP(Table_ErrorList[[#This Row],[Section '#]],Table_SectionNames[],MATCH(Table_SectionNames[[#Headers],[Name]],Table_SectionNames[#Headers],0),FALSE),"Not found")</f>
        <v>Claim Allocation</v>
      </c>
      <c r="G177" s="104"/>
      <c r="H177" s="107" t="str">
        <f>IFERROR(VLOOKUP(Table_ErrorList[[#This Row],[Attention To Named Range]],Table_NamedRanges[],MATCH(Table_NamedRanges[[#Headers],[Reference Type]],Table_NamedRanges[#Headers],0),FALSE),"Error")</f>
        <v>Single Range</v>
      </c>
      <c r="I177" s="102" t="s">
        <v>859</v>
      </c>
      <c r="J177" s="107" t="str">
        <f>IF(Table_ErrorList[[#This Row],[Manual Reference]]="",Table_ErrorList[[#This Row],[''Attention To'' Refence]],Table_ErrorList[[#This Row],[Manual Reference]])&amp;","</f>
        <v>$J$42,$J$43,$J$44,$J$45,</v>
      </c>
      <c r="K177" s="107" t="str">
        <f>SUBSTITUTE(SUBSTITUTE(VLOOKUP(Table_ErrorList[[#This Row],[Attention To Named Range]],Table_NamedRanges[],MATCH(Table_NamedRanges[[#Headers],[Reference Text]],Table_NamedRanges[#Headers],0),FALSE),"=",""),"'Travel Expense Summary'!","")</f>
        <v>$J$42:$L$45</v>
      </c>
      <c r="L177" s="107" t="s">
        <v>875</v>
      </c>
      <c r="M177" s="85" t="s">
        <v>876</v>
      </c>
      <c r="N177" s="85" t="s">
        <v>877</v>
      </c>
      <c r="O177" s="85" t="b">
        <v>1</v>
      </c>
      <c r="P177" s="123"/>
      <c r="Q177" s="123"/>
      <c r="R177" s="116" t="str">
        <f>CONCATENATE(Table_ErrorList[[#This Row],[Details Explanation (Line '#1)]],IF(Table_ErrorList[[#This Row],[Details Explanation (Line '#2)]]&lt;&gt;"",CHAR(10)&amp;Table_ErrorList[[#This Row],[Details Explanation (Line '#2)]],""))</f>
        <v/>
      </c>
      <c r="S177" s="85" t="b">
        <v>1</v>
      </c>
      <c r="T177" s="85" t="str">
        <f>IF(LEN(Table_ErrorList[[#This Row],[Message Bar Display]])&gt;$U$5,"Too Long, Characters = "&amp;LEN(Table_ErrorList[[#This Row],[Message Bar Display]])," ")</f>
        <v xml:space="preserve"> </v>
      </c>
      <c r="U177" s="85" t="str">
        <f>IF(LEN(Table_ErrorList[[#This Row],[Details Explanation (Line '#1)]])&gt;$U$5,"Too Long, Characters = "&amp;LEN(Table_ErrorList[[#This Row],[Details Explanation (Line '#1)]])," ")</f>
        <v xml:space="preserve"> </v>
      </c>
      <c r="V177" s="85" t="str">
        <f>IF(LEN(Table_ErrorList[[#This Row],[Details Explanation (Line '#2)]])&gt;$U$5,"Too Long, Characters = "&amp;LEN(Table_ErrorList[[#This Row],[Details Explanation (Line '#2)]])," ")</f>
        <v xml:space="preserve"> </v>
      </c>
    </row>
    <row r="178" spans="1:22" s="32" customFormat="1" ht="30" x14ac:dyDescent="0.25">
      <c r="A178" s="107" t="b">
        <f ca="1">SUM(ClaimAllocation_AmountArray)&lt;Total_Eligible</f>
        <v>0</v>
      </c>
      <c r="B178" s="107" t="str">
        <f ca="1">IFERROR(INDIRECT(Table_ErrorList[[#This Row],[Attention To Named Range]]),"Error")</f>
        <v>Error</v>
      </c>
      <c r="C178" s="102">
        <v>1900</v>
      </c>
      <c r="D178" s="102" t="str">
        <f ca="1">IF(Table_ErrorList[[#This Row],[Manual Hierarchy]]="",CONCATENATE(TEXT(Table_ErrorList[[#This Row],[Section '#]],"00"),"-",TEXT(COUNTIF($E178:OFFSET(Table_ErrorList[[#Headers],[Section '#]],1,0,1,1),Table_ErrorList[[#This Row],[Section '#]]),"000")),Table_ErrorList[[#This Row],[Manual Hierarchy]])</f>
        <v>10-002</v>
      </c>
      <c r="E178" s="104">
        <v>10</v>
      </c>
      <c r="F178" s="104" t="str">
        <f>IFERROR(VLOOKUP(Table_ErrorList[[#This Row],[Section '#]],Table_SectionNames[],MATCH(Table_SectionNames[[#Headers],[Name]],Table_SectionNames[#Headers],0),FALSE),"Not found")</f>
        <v>Claim Allocation</v>
      </c>
      <c r="G178" s="104"/>
      <c r="H178" s="107" t="str">
        <f>IFERROR(VLOOKUP(Table_ErrorList[[#This Row],[Attention To Named Range]],Table_NamedRanges[],MATCH(Table_NamedRanges[[#Headers],[Reference Type]],Table_NamedRanges[#Headers],0),FALSE),"Error")</f>
        <v>Multiple (Cell or Range)</v>
      </c>
      <c r="I178" s="102" t="s">
        <v>841</v>
      </c>
      <c r="J178" s="107" t="str">
        <f>IF(Table_ErrorList[[#This Row],[Manual Reference]]="",Table_ErrorList[[#This Row],[''Attention To'' Refence]],Table_ErrorList[[#This Row],[Manual Reference]])&amp;","</f>
        <v>$M$42,$M$43,$M$44,$M$45,</v>
      </c>
      <c r="K178" s="107" t="str">
        <f>SUBSTITUTE(SUBSTITUTE(VLOOKUP(Table_ErrorList[[#This Row],[Attention To Named Range]],Table_NamedRanges[],MATCH(Table_NamedRanges[[#Headers],[Reference Text]],Table_NamedRanges[#Headers],0),FALSE),"=",""),"'Travel Expense Summary'!","")</f>
        <v>$M$42,$M$43,$M$44,$M$45</v>
      </c>
      <c r="L178" s="107"/>
      <c r="M178" s="85" t="s">
        <v>916</v>
      </c>
      <c r="N178" s="85" t="s">
        <v>919</v>
      </c>
      <c r="O178" s="85" t="b">
        <v>1</v>
      </c>
      <c r="P178" s="106" t="s">
        <v>920</v>
      </c>
      <c r="Q178" s="124" t="str">
        <f ca="1">"Increase the 'Allocated Amounts' by "&amp;TEXT(ROUND(Total_Eligible-Total_ClaimAllocation,2),"$#,###.00")&amp;" to be a total of "&amp;TEXT(Total_Eligible,"$#,###.00")&amp;"."</f>
        <v>Increase the 'Allocated Amounts' by $.00 to be a total of $.00.</v>
      </c>
      <c r="R178" s="116" t="str">
        <f ca="1">CONCATENATE(Table_ErrorList[[#This Row],[Details Explanation (Line '#1)]],IF(Table_ErrorList[[#This Row],[Details Explanation (Line '#2)]]&lt;&gt;"",CHAR(10)&amp;Table_ErrorList[[#This Row],[Details Explanation (Line '#2)]],""))</f>
        <v>The 'Claim Allocation Amounts' are less than the 'Total Expenses Eligible'.
Increase the 'Allocated Amounts' by $.00 to be a total of $.00.</v>
      </c>
      <c r="S178" s="85" t="b">
        <v>1</v>
      </c>
      <c r="T178" s="85" t="str">
        <f>IF(LEN(Table_ErrorList[[#This Row],[Message Bar Display]])&gt;$U$5,"Too Long, Characters = "&amp;LEN(Table_ErrorList[[#This Row],[Message Bar Display]])," ")</f>
        <v xml:space="preserve"> </v>
      </c>
      <c r="U178" s="85" t="str">
        <f>IF(LEN(Table_ErrorList[[#This Row],[Details Explanation (Line '#1)]])&gt;$U$5,"Too Long, Characters = "&amp;LEN(Table_ErrorList[[#This Row],[Details Explanation (Line '#1)]])," ")</f>
        <v xml:space="preserve"> </v>
      </c>
      <c r="V178" s="85" t="str">
        <f ca="1">IF(LEN(Table_ErrorList[[#This Row],[Details Explanation (Line '#2)]])&gt;$U$5,"Too Long, Characters = "&amp;LEN(Table_ErrorList[[#This Row],[Details Explanation (Line '#2)]])," ")</f>
        <v xml:space="preserve"> </v>
      </c>
    </row>
    <row r="179" spans="1:22" ht="33.75" x14ac:dyDescent="0.25">
      <c r="A179" s="107" t="b">
        <f ca="1">SUM(ClaimAllocation_AmountArray)&gt;Total_Eligible</f>
        <v>0</v>
      </c>
      <c r="B179" s="107" t="str">
        <f ca="1">IFERROR(INDIRECT(Table_ErrorList[[#This Row],[Attention To Named Range]]),"Error")</f>
        <v>Error</v>
      </c>
      <c r="C179" s="102">
        <v>1901</v>
      </c>
      <c r="D179" s="102" t="str">
        <f ca="1">IF(Table_ErrorList[[#This Row],[Manual Hierarchy]]="",CONCATENATE(TEXT(Table_ErrorList[[#This Row],[Section '#]],"00"),"-",TEXT(COUNTIF($E179:OFFSET(Table_ErrorList[[#Headers],[Section '#]],1,0,1,1),Table_ErrorList[[#This Row],[Section '#]]),"000")),Table_ErrorList[[#This Row],[Manual Hierarchy]])</f>
        <v>10-003</v>
      </c>
      <c r="E179" s="104">
        <v>10</v>
      </c>
      <c r="F179" s="104" t="str">
        <f>IFERROR(VLOOKUP(Table_ErrorList[[#This Row],[Section '#]],Table_SectionNames[],MATCH(Table_SectionNames[[#Headers],[Name]],Table_SectionNames[#Headers],0),FALSE),"Not found")</f>
        <v>Claim Allocation</v>
      </c>
      <c r="G179" s="104"/>
      <c r="H179" s="107" t="str">
        <f>IFERROR(VLOOKUP(Table_ErrorList[[#This Row],[Attention To Named Range]],Table_NamedRanges[],MATCH(Table_NamedRanges[[#Headers],[Reference Type]],Table_NamedRanges[#Headers],0),FALSE),"Error")</f>
        <v>Multiple (Cell or Range)</v>
      </c>
      <c r="I179" s="102" t="s">
        <v>841</v>
      </c>
      <c r="J179" s="107" t="str">
        <f>IF(Table_ErrorList[[#This Row],[Manual Reference]]="",Table_ErrorList[[#This Row],[''Attention To'' Refence]],Table_ErrorList[[#This Row],[Manual Reference]])&amp;","</f>
        <v>$M$42,$M$43,$M$44,$M$45,</v>
      </c>
      <c r="K179" s="107" t="str">
        <f>SUBSTITUTE(SUBSTITUTE(VLOOKUP(Table_ErrorList[[#This Row],[Attention To Named Range]],Table_NamedRanges[],MATCH(Table_NamedRanges[[#Headers],[Reference Text]],Table_NamedRanges[#Headers],0),FALSE),"=",""),"'Travel Expense Summary'!","")</f>
        <v>$M$42,$M$43,$M$44,$M$45</v>
      </c>
      <c r="L179" s="107"/>
      <c r="M179" s="85" t="s">
        <v>917</v>
      </c>
      <c r="N179" s="85" t="s">
        <v>1005</v>
      </c>
      <c r="O179" s="85" t="b">
        <v>1</v>
      </c>
      <c r="P179" s="106" t="s">
        <v>918</v>
      </c>
      <c r="Q179" s="124" t="str">
        <f ca="1">"Decrease the 'Allocated Amounts' by "&amp;TEXT(ROUND(Total_ClaimAllocation-Total_Eligible,2),"$#,###.00")&amp;" to be a total of "&amp;TEXT(Total_Eligible,"$#,###.00")&amp;"."</f>
        <v>Decrease the 'Allocated Amounts' by $.00 to be a total of $.00.</v>
      </c>
      <c r="R179" s="109" t="str">
        <f ca="1">CONCATENATE(Table_ErrorList[[#This Row],[Details Explanation (Line '#1)]],IF(Table_ErrorList[[#This Row],[Details Explanation (Line '#2)]]&lt;&gt;"",CHAR(10)&amp;Table_ErrorList[[#This Row],[Details Explanation (Line '#2)]],""))</f>
        <v>The 'Claim Allocation Amounts' are greater than the 'Total Expenses Eligible'.
Decrease the 'Allocated Amounts' by $.00 to be a total of $.00.</v>
      </c>
      <c r="S179" s="85" t="b">
        <v>1</v>
      </c>
      <c r="T179" s="85" t="str">
        <f>IF(LEN(Table_ErrorList[[#This Row],[Message Bar Display]])&gt;$U$5,"Too Long, Characters = "&amp;LEN(Table_ErrorList[[#This Row],[Message Bar Display]])," ")</f>
        <v xml:space="preserve"> </v>
      </c>
      <c r="U179" s="85" t="str">
        <f>IF(LEN(Table_ErrorList[[#This Row],[Details Explanation (Line '#1)]])&gt;$U$5,"Too Long, Characters = "&amp;LEN(Table_ErrorList[[#This Row],[Details Explanation (Line '#1)]])," ")</f>
        <v xml:space="preserve"> </v>
      </c>
      <c r="V179" s="85" t="str">
        <f ca="1">IF(LEN(Table_ErrorList[[#This Row],[Details Explanation (Line '#2)]])&gt;$U$5,"Too Long, Characters = "&amp;LEN(Table_ErrorList[[#This Row],[Details Explanation (Line '#2)]])," ")</f>
        <v xml:space="preserve"> </v>
      </c>
    </row>
    <row r="180" spans="1:22" ht="33.75" x14ac:dyDescent="0.25">
      <c r="A180" s="107" t="b">
        <f ca="1">AND(OR(ISBLANK(Table_ErrorList[[#This Row],[Relevant Cell Value]]),Table_ErrorList[[#This Row],[Relevant Cell Value]]=Dropdown_NotSelectedValue,Table_ErrorList[[#This Row],[Relevant Cell Value]]=0),OR(ClaimAllocation_Amount1&lt;&gt;0,ClaimAllocation_Amount1&lt;&gt;""))</f>
        <v>0</v>
      </c>
      <c r="B180" s="107">
        <f ca="1">IFERROR(INDIRECT(Table_ErrorList[[#This Row],[Attention To Named Range]]),"Error")</f>
        <v>0</v>
      </c>
      <c r="C180" s="102">
        <v>1800</v>
      </c>
      <c r="D180" s="102" t="str">
        <f ca="1">IF(Table_ErrorList[[#This Row],[Manual Hierarchy]]="",CONCATENATE(TEXT(Table_ErrorList[[#This Row],[Section '#]],"00"),"-",TEXT(COUNTIF($E180:OFFSET(Table_ErrorList[[#Headers],[Section '#]],1,0,1,1),Table_ErrorList[[#This Row],[Section '#]]),"000")),Table_ErrorList[[#This Row],[Manual Hierarchy]])</f>
        <v>10-004</v>
      </c>
      <c r="E180" s="104">
        <v>10</v>
      </c>
      <c r="F180" s="104" t="str">
        <f>IFERROR(VLOOKUP(Table_ErrorList[[#This Row],[Section '#]],Table_SectionNames[],MATCH(Table_SectionNames[[#Headers],[Name]],Table_SectionNames[#Headers],0),FALSE),"Not found")</f>
        <v>Claim Allocation</v>
      </c>
      <c r="G180" s="104"/>
      <c r="H180" s="107" t="str">
        <f>IFERROR(VLOOKUP(Table_ErrorList[[#This Row],[Attention To Named Range]],Table_NamedRanges[],MATCH(Table_NamedRanges[[#Headers],[Reference Type]],Table_NamedRanges[#Headers],0),FALSE),"Error")</f>
        <v>Single Cell</v>
      </c>
      <c r="I180" s="102" t="s">
        <v>851</v>
      </c>
      <c r="J180" s="107" t="str">
        <f>IF(Table_ErrorList[[#This Row],[Manual Reference]]="",Table_ErrorList[[#This Row],[''Attention To'' Refence]],Table_ErrorList[[#This Row],[Manual Reference]])&amp;","</f>
        <v>$J$42,</v>
      </c>
      <c r="K180" s="107" t="str">
        <f>SUBSTITUTE(SUBSTITUTE(VLOOKUP(Table_ErrorList[[#This Row],[Attention To Named Range]],Table_NamedRanges[],MATCH(Table_NamedRanges[[#Headers],[Reference Text]],Table_NamedRanges[#Headers],0),FALSE),"=",""),"'Travel Expense Summary'!","")</f>
        <v>$J$42</v>
      </c>
      <c r="L180" s="107"/>
      <c r="M180" s="85" t="s">
        <v>865</v>
      </c>
      <c r="N180" s="85" t="s">
        <v>866</v>
      </c>
      <c r="O180" s="85" t="b">
        <v>1</v>
      </c>
      <c r="P180" s="123" t="s">
        <v>867</v>
      </c>
      <c r="Q180" s="123" t="s">
        <v>868</v>
      </c>
      <c r="R180" s="116"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0" s="85" t="b">
        <v>1</v>
      </c>
      <c r="T180" s="85" t="str">
        <f>IF(LEN(Table_ErrorList[[#This Row],[Message Bar Display]])&gt;$U$5,"Too Long, Characters = "&amp;LEN(Table_ErrorList[[#This Row],[Message Bar Display]])," ")</f>
        <v xml:space="preserve"> </v>
      </c>
      <c r="U180" s="85" t="str">
        <f>IF(LEN(Table_ErrorList[[#This Row],[Details Explanation (Line '#1)]])&gt;$U$5,"Too Long, Characters = "&amp;LEN(Table_ErrorList[[#This Row],[Details Explanation (Line '#1)]])," ")</f>
        <v xml:space="preserve"> </v>
      </c>
      <c r="V180" s="85" t="str">
        <f>IF(LEN(Table_ErrorList[[#This Row],[Details Explanation (Line '#2)]])&gt;$U$5,"Too Long, Characters = "&amp;LEN(Table_ErrorList[[#This Row],[Details Explanation (Line '#2)]])," ")</f>
        <v xml:space="preserve"> </v>
      </c>
    </row>
    <row r="181" spans="1:22" ht="33.75" x14ac:dyDescent="0.25">
      <c r="A181" s="107" t="b">
        <f ca="1">AND(OR(ISBLANK(Table_ErrorList[[#This Row],[Relevant Cell Value]]),Table_ErrorList[[#This Row],[Relevant Cell Value]]=Dropdown_NotSelectedValue,Table_ErrorList[[#This Row],[Relevant Cell Value]]=0),OR(ClaimAllocation_Amount2&lt;&gt;0,ClaimAllocation_Amount2&lt;&gt;""))</f>
        <v>0</v>
      </c>
      <c r="B181" s="107">
        <f ca="1">IFERROR(INDIRECT(Table_ErrorList[[#This Row],[Attention To Named Range]]),"Error")</f>
        <v>0</v>
      </c>
      <c r="C181" s="102">
        <v>1820</v>
      </c>
      <c r="D181" s="102" t="str">
        <f ca="1">IF(Table_ErrorList[[#This Row],[Manual Hierarchy]]="",CONCATENATE(TEXT(Table_ErrorList[[#This Row],[Section '#]],"00"),"-",TEXT(COUNTIF($E181:OFFSET(Table_ErrorList[[#Headers],[Section '#]],1,0,1,1),Table_ErrorList[[#This Row],[Section '#]]),"000")),Table_ErrorList[[#This Row],[Manual Hierarchy]])</f>
        <v>10-005</v>
      </c>
      <c r="E181" s="104">
        <v>10</v>
      </c>
      <c r="F181" s="104" t="str">
        <f>IFERROR(VLOOKUP(Table_ErrorList[[#This Row],[Section '#]],Table_SectionNames[],MATCH(Table_SectionNames[[#Headers],[Name]],Table_SectionNames[#Headers],0),FALSE),"Not found")</f>
        <v>Claim Allocation</v>
      </c>
      <c r="G181" s="104"/>
      <c r="H181" s="107" t="str">
        <f>IFERROR(VLOOKUP(Table_ErrorList[[#This Row],[Attention To Named Range]],Table_NamedRanges[],MATCH(Table_NamedRanges[[#Headers],[Reference Type]],Table_NamedRanges[#Headers],0),FALSE),"Error")</f>
        <v>Single Cell</v>
      </c>
      <c r="I181" s="102" t="s">
        <v>853</v>
      </c>
      <c r="J181" s="107" t="str">
        <f>IF(Table_ErrorList[[#This Row],[Manual Reference]]="",Table_ErrorList[[#This Row],[''Attention To'' Refence]],Table_ErrorList[[#This Row],[Manual Reference]])&amp;","</f>
        <v>$J$43,</v>
      </c>
      <c r="K181" s="107" t="str">
        <f>SUBSTITUTE(SUBSTITUTE(VLOOKUP(Table_ErrorList[[#This Row],[Attention To Named Range]],Table_NamedRanges[],MATCH(Table_NamedRanges[[#Headers],[Reference Text]],Table_NamedRanges[#Headers],0),FALSE),"=",""),"'Travel Expense Summary'!","")</f>
        <v>$J$43</v>
      </c>
      <c r="L181" s="107"/>
      <c r="M181" s="85" t="s">
        <v>869</v>
      </c>
      <c r="N181" s="85" t="s">
        <v>870</v>
      </c>
      <c r="O181" s="85" t="b">
        <v>1</v>
      </c>
      <c r="P181" s="123" t="s">
        <v>867</v>
      </c>
      <c r="Q181" s="123" t="s">
        <v>868</v>
      </c>
      <c r="R181" s="116"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1" s="85" t="b">
        <v>1</v>
      </c>
      <c r="T181" s="85" t="str">
        <f>IF(LEN(Table_ErrorList[[#This Row],[Message Bar Display]])&gt;$U$5,"Too Long, Characters = "&amp;LEN(Table_ErrorList[[#This Row],[Message Bar Display]])," ")</f>
        <v xml:space="preserve"> </v>
      </c>
      <c r="U181" s="85" t="str">
        <f>IF(LEN(Table_ErrorList[[#This Row],[Details Explanation (Line '#1)]])&gt;$U$5,"Too Long, Characters = "&amp;LEN(Table_ErrorList[[#This Row],[Details Explanation (Line '#1)]])," ")</f>
        <v xml:space="preserve"> </v>
      </c>
      <c r="V181" s="85" t="str">
        <f>IF(LEN(Table_ErrorList[[#This Row],[Details Explanation (Line '#2)]])&gt;$U$5,"Too Long, Characters = "&amp;LEN(Table_ErrorList[[#This Row],[Details Explanation (Line '#2)]])," ")</f>
        <v xml:space="preserve"> </v>
      </c>
    </row>
    <row r="182" spans="1:22" ht="33.75" x14ac:dyDescent="0.25">
      <c r="A182" s="107" t="b">
        <f ca="1">AND(OR(ISBLANK(Table_ErrorList[[#This Row],[Relevant Cell Value]]),Table_ErrorList[[#This Row],[Relevant Cell Value]]=Dropdown_NotSelectedValue,Table_ErrorList[[#This Row],[Relevant Cell Value]]=0),OR(ClaimAllocation_Amount3&lt;&gt;0,ClaimAllocation_Amount3&lt;&gt;""))</f>
        <v>0</v>
      </c>
      <c r="B182" s="107">
        <f ca="1">IFERROR(INDIRECT(Table_ErrorList[[#This Row],[Attention To Named Range]]),"Error")</f>
        <v>0</v>
      </c>
      <c r="C182" s="102">
        <v>1840</v>
      </c>
      <c r="D182" s="102" t="str">
        <f ca="1">IF(Table_ErrorList[[#This Row],[Manual Hierarchy]]="",CONCATENATE(TEXT(Table_ErrorList[[#This Row],[Section '#]],"00"),"-",TEXT(COUNTIF($E182:OFFSET(Table_ErrorList[[#Headers],[Section '#]],1,0,1,1),Table_ErrorList[[#This Row],[Section '#]]),"000")),Table_ErrorList[[#This Row],[Manual Hierarchy]])</f>
        <v>10-006</v>
      </c>
      <c r="E182" s="104">
        <v>10</v>
      </c>
      <c r="F182" s="104" t="str">
        <f>IFERROR(VLOOKUP(Table_ErrorList[[#This Row],[Section '#]],Table_SectionNames[],MATCH(Table_SectionNames[[#Headers],[Name]],Table_SectionNames[#Headers],0),FALSE),"Not found")</f>
        <v>Claim Allocation</v>
      </c>
      <c r="G182" s="104"/>
      <c r="H182" s="107" t="str">
        <f>IFERROR(VLOOKUP(Table_ErrorList[[#This Row],[Attention To Named Range]],Table_NamedRanges[],MATCH(Table_NamedRanges[[#Headers],[Reference Type]],Table_NamedRanges[#Headers],0),FALSE),"Error")</f>
        <v>Single Cell</v>
      </c>
      <c r="I182" s="102" t="s">
        <v>855</v>
      </c>
      <c r="J182" s="107" t="str">
        <f>IF(Table_ErrorList[[#This Row],[Manual Reference]]="",Table_ErrorList[[#This Row],[''Attention To'' Refence]],Table_ErrorList[[#This Row],[Manual Reference]])&amp;","</f>
        <v>$J$44,</v>
      </c>
      <c r="K182" s="107" t="str">
        <f>SUBSTITUTE(SUBSTITUTE(VLOOKUP(Table_ErrorList[[#This Row],[Attention To Named Range]],Table_NamedRanges[],MATCH(Table_NamedRanges[[#Headers],[Reference Text]],Table_NamedRanges[#Headers],0),FALSE),"=",""),"'Travel Expense Summary'!","")</f>
        <v>$J$44</v>
      </c>
      <c r="L182" s="107"/>
      <c r="M182" s="85" t="s">
        <v>871</v>
      </c>
      <c r="N182" s="85" t="s">
        <v>873</v>
      </c>
      <c r="O182" s="85" t="b">
        <v>1</v>
      </c>
      <c r="P182" s="123" t="s">
        <v>867</v>
      </c>
      <c r="Q182" s="123" t="s">
        <v>868</v>
      </c>
      <c r="R182" s="116"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2" s="85" t="b">
        <v>1</v>
      </c>
      <c r="T182" s="85" t="str">
        <f>IF(LEN(Table_ErrorList[[#This Row],[Message Bar Display]])&gt;$U$5,"Too Long, Characters = "&amp;LEN(Table_ErrorList[[#This Row],[Message Bar Display]])," ")</f>
        <v xml:space="preserve"> </v>
      </c>
      <c r="U182" s="85" t="str">
        <f>IF(LEN(Table_ErrorList[[#This Row],[Details Explanation (Line '#1)]])&gt;$U$5,"Too Long, Characters = "&amp;LEN(Table_ErrorList[[#This Row],[Details Explanation (Line '#1)]])," ")</f>
        <v xml:space="preserve"> </v>
      </c>
      <c r="V182" s="85" t="str">
        <f>IF(LEN(Table_ErrorList[[#This Row],[Details Explanation (Line '#2)]])&gt;$U$5,"Too Long, Characters = "&amp;LEN(Table_ErrorList[[#This Row],[Details Explanation (Line '#2)]])," ")</f>
        <v xml:space="preserve"> </v>
      </c>
    </row>
    <row r="183" spans="1:22" ht="33.75" x14ac:dyDescent="0.25">
      <c r="A183" s="107" t="b">
        <f ca="1">AND(OR(ISBLANK(Table_ErrorList[[#This Row],[Relevant Cell Value]]),Table_ErrorList[[#This Row],[Relevant Cell Value]]=Dropdown_NotSelectedValue,Table_ErrorList[[#This Row],[Relevant Cell Value]]=0),OR(ClaimAllocation_Amount4&lt;&gt;0,ClaimAllocation_Amount4&lt;&gt;""))</f>
        <v>0</v>
      </c>
      <c r="B183" s="107">
        <f ca="1">IFERROR(INDIRECT(Table_ErrorList[[#This Row],[Attention To Named Range]]),"Error")</f>
        <v>0</v>
      </c>
      <c r="C183" s="102">
        <v>1860</v>
      </c>
      <c r="D183" s="102" t="str">
        <f ca="1">IF(Table_ErrorList[[#This Row],[Manual Hierarchy]]="",CONCATENATE(TEXT(Table_ErrorList[[#This Row],[Section '#]],"00"),"-",TEXT(COUNTIF($E183:OFFSET(Table_ErrorList[[#Headers],[Section '#]],1,0,1,1),Table_ErrorList[[#This Row],[Section '#]]),"000")),Table_ErrorList[[#This Row],[Manual Hierarchy]])</f>
        <v>10-007</v>
      </c>
      <c r="E183" s="104">
        <v>10</v>
      </c>
      <c r="F183" s="104" t="str">
        <f>IFERROR(VLOOKUP(Table_ErrorList[[#This Row],[Section '#]],Table_SectionNames[],MATCH(Table_SectionNames[[#Headers],[Name]],Table_SectionNames[#Headers],0),FALSE),"Not found")</f>
        <v>Claim Allocation</v>
      </c>
      <c r="G183" s="104"/>
      <c r="H183" s="107" t="str">
        <f>IFERROR(VLOOKUP(Table_ErrorList[[#This Row],[Attention To Named Range]],Table_NamedRanges[],MATCH(Table_NamedRanges[[#Headers],[Reference Type]],Table_NamedRanges[#Headers],0),FALSE),"Error")</f>
        <v>Single Cell</v>
      </c>
      <c r="I183" s="102" t="s">
        <v>857</v>
      </c>
      <c r="J183" s="107" t="str">
        <f>IF(Table_ErrorList[[#This Row],[Manual Reference]]="",Table_ErrorList[[#This Row],[''Attention To'' Refence]],Table_ErrorList[[#This Row],[Manual Reference]])&amp;","</f>
        <v>$J$45,</v>
      </c>
      <c r="K183" s="107" t="str">
        <f>SUBSTITUTE(SUBSTITUTE(VLOOKUP(Table_ErrorList[[#This Row],[Attention To Named Range]],Table_NamedRanges[],MATCH(Table_NamedRanges[[#Headers],[Reference Text]],Table_NamedRanges[#Headers],0),FALSE),"=",""),"'Travel Expense Summary'!","")</f>
        <v>$J$45</v>
      </c>
      <c r="L183" s="107"/>
      <c r="M183" s="85" t="s">
        <v>872</v>
      </c>
      <c r="N183" s="85" t="s">
        <v>874</v>
      </c>
      <c r="O183" s="85" t="b">
        <v>1</v>
      </c>
      <c r="P183" s="123" t="s">
        <v>867</v>
      </c>
      <c r="Q183" s="123" t="s">
        <v>868</v>
      </c>
      <c r="R183" s="116"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3" s="85" t="b">
        <v>1</v>
      </c>
      <c r="T183" s="85" t="str">
        <f>IF(LEN(Table_ErrorList[[#This Row],[Message Bar Display]])&gt;$U$5,"Too Long, Characters = "&amp;LEN(Table_ErrorList[[#This Row],[Message Bar Display]])," ")</f>
        <v xml:space="preserve"> </v>
      </c>
      <c r="U183" s="85" t="str">
        <f>IF(LEN(Table_ErrorList[[#This Row],[Details Explanation (Line '#1)]])&gt;$U$5,"Too Long, Characters = "&amp;LEN(Table_ErrorList[[#This Row],[Details Explanation (Line '#1)]])," ")</f>
        <v xml:space="preserve"> </v>
      </c>
      <c r="V183" s="85" t="str">
        <f>IF(LEN(Table_ErrorList[[#This Row],[Details Explanation (Line '#2)]])&gt;$U$5,"Too Long, Characters = "&amp;LEN(Table_ErrorList[[#This Row],[Details Explanation (Line '#2)]])," ")</f>
        <v xml:space="preserve"> </v>
      </c>
    </row>
    <row r="184" spans="1:22" ht="33.75" x14ac:dyDescent="0.25">
      <c r="A184" s="117" t="b">
        <f ca="1">COUNTIF(OFFSET(Error_OffsetRef,0,0,ROWS(Table_ErrorList[])-1,1),TRUE)=0</f>
        <v>0</v>
      </c>
      <c r="B184" s="117" t="str">
        <f ca="1">IFERROR(INDIRECT(Table_ErrorList[[#This Row],[Attention To Named Range]]),"Error")</f>
        <v>Error</v>
      </c>
      <c r="C184" s="118">
        <v>99999</v>
      </c>
      <c r="D184" s="118" t="str">
        <f ca="1">IF(Table_ErrorList[[#This Row],[Manual Hierarchy]]="",CONCATENATE(TEXT(Table_ErrorList[[#This Row],[Section '#]],"00"),"-",TEXT(COUNTIF($E184:OFFSET(Table_ErrorList[[#Headers],[Section '#]],1,0,1,1),Table_ErrorList[[#This Row],[Section '#]]),"000")),Table_ErrorList[[#This Row],[Manual Hierarchy]])</f>
        <v>11-999</v>
      </c>
      <c r="E184" s="119">
        <v>99</v>
      </c>
      <c r="F184" s="119" t="str">
        <f>IFERROR(VLOOKUP(Table_ErrorList[[#This Row],[Section '#]],Table_SectionNames[],MATCH(Table_SectionNames[[#Headers],[Name]],Table_SectionNames[#Headers],0),FALSE),"Not found")</f>
        <v>Milestone #2</v>
      </c>
      <c r="G184" s="119" t="s">
        <v>958</v>
      </c>
      <c r="H184" s="117" t="str">
        <f>IFERROR(VLOOKUP(Table_ErrorList[[#This Row],[Attention To Named Range]],Table_NamedRanges[],MATCH(Table_NamedRanges[[#Headers],[Reference Type]],Table_NamedRanges[#Headers],0),FALSE),"Error")</f>
        <v>Error</v>
      </c>
      <c r="I184" s="118" t="s">
        <v>878</v>
      </c>
      <c r="J184" s="117" t="e">
        <f>IF(Table_ErrorList[[#This Row],[Manual Reference]]="",Table_ErrorList[[#This Row],[''Attention To'' Refence]],Table_ErrorList[[#This Row],[Manual Reference]])&amp;","</f>
        <v>#N/A</v>
      </c>
      <c r="K184" s="117" t="e">
        <f>SUBSTITUTE(SUBSTITUTE(VLOOKUP(Table_ErrorList[[#This Row],[Attention To Named Range]],Table_NamedRanges[],MATCH(Table_NamedRanges[[#Headers],[Reference Text]],Table_NamedRanges[#Headers],0),FALSE),"=",""),"'Travel Expense Summary'!","")</f>
        <v>#N/A</v>
      </c>
      <c r="L184" s="117"/>
      <c r="M184" s="120" t="s">
        <v>1153</v>
      </c>
      <c r="N184" s="129" t="s">
        <v>1077</v>
      </c>
      <c r="O184" s="120" t="b">
        <v>0</v>
      </c>
      <c r="P184" s="121" t="str">
        <f ca="1">"This claim has successfully included "&amp;TEXT(Total_Eligible,"$#,##0.00")&amp;"."</f>
        <v>This claim has successfully included $0.00.</v>
      </c>
      <c r="Q184" s="121" t="s">
        <v>1078</v>
      </c>
      <c r="R184" s="122" t="str">
        <f ca="1">CONCATENATE(Table_ErrorList[[#This Row],[Details Explanation (Line '#1)]],IF(Table_ErrorList[[#This Row],[Details Explanation (Line '#2)]]&lt;&gt;"",CHAR(10)&amp;Table_ErrorList[[#This Row],[Details Explanation (Line '#2)]],""))</f>
        <v>This claim has successfully included $0.00.
Save as a 'PDF' or print and forward to the appropriate approver before directing to NOSM Accounts Payable.</v>
      </c>
      <c r="S184" s="120" t="b">
        <v>0</v>
      </c>
      <c r="T184" s="85" t="str">
        <f>IF(LEN(Table_ErrorList[[#This Row],[Message Bar Display]])&gt;$U$5,"Too Long, Characters = "&amp;LEN(Table_ErrorList[[#This Row],[Message Bar Display]])," ")</f>
        <v xml:space="preserve"> </v>
      </c>
      <c r="U184" s="85" t="str">
        <f ca="1">IF(LEN(Table_ErrorList[[#This Row],[Details Explanation (Line '#1)]])&gt;$U$5,"Too Long, Characters = "&amp;LEN(Table_ErrorList[[#This Row],[Details Explanation (Line '#1)]])," ")</f>
        <v xml:space="preserve"> </v>
      </c>
      <c r="V184" s="85" t="str">
        <f>IF(LEN(Table_ErrorList[[#This Row],[Details Explanation (Line '#2)]])&gt;$U$5,"Too Long, Characters = "&amp;LEN(Table_ErrorList[[#This Row],[Details Explanation (Line '#2)]])," ")</f>
        <v xml:space="preserve"> </v>
      </c>
    </row>
  </sheetData>
  <sheetProtection password="EDC4" sheet="1" objects="1" scenarios="1" selectLockedCells="1" selectUnlockedCells="1"/>
  <dataValidations count="1">
    <dataValidation type="list" allowBlank="1" showInputMessage="1" showErrorMessage="1" sqref="E7:E183">
      <formula1>Dropdown_SEctionNum</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217"/>
  <sheetViews>
    <sheetView workbookViewId="0">
      <selection activeCell="B4" sqref="B4"/>
    </sheetView>
  </sheetViews>
  <sheetFormatPr defaultRowHeight="15" x14ac:dyDescent="0.25"/>
  <cols>
    <col min="1" max="1" width="2.85546875" customWidth="1"/>
    <col min="2" max="2" width="39.140625" customWidth="1"/>
    <col min="3" max="3" width="47.5703125" customWidth="1"/>
    <col min="4" max="4" width="24.85546875" style="32" customWidth="1"/>
    <col min="5" max="5" width="54.85546875" customWidth="1"/>
    <col min="6" max="6" width="25.85546875" customWidth="1"/>
    <col min="7" max="7" width="17.85546875" customWidth="1"/>
    <col min="8" max="8" width="19.7109375" customWidth="1"/>
    <col min="9" max="9" width="17.5703125" bestFit="1" customWidth="1"/>
    <col min="10" max="10" width="15.7109375" customWidth="1"/>
    <col min="11" max="11" width="23.5703125" customWidth="1"/>
    <col min="12" max="12" width="17.28515625" bestFit="1" customWidth="1"/>
  </cols>
  <sheetData>
    <row r="1" spans="2:11" ht="31.5" x14ac:dyDescent="0.5">
      <c r="B1" s="25" t="s">
        <v>136</v>
      </c>
      <c r="F1" t="s">
        <v>152</v>
      </c>
    </row>
    <row r="2" spans="2:11" x14ac:dyDescent="0.25">
      <c r="D2" s="32" t="s">
        <v>217</v>
      </c>
      <c r="E2" t="s">
        <v>192</v>
      </c>
      <c r="F2" s="22" t="s">
        <v>192</v>
      </c>
      <c r="G2" s="22"/>
      <c r="H2" s="22"/>
      <c r="I2" s="22"/>
      <c r="J2" s="22"/>
      <c r="K2" s="22" t="s">
        <v>192</v>
      </c>
    </row>
    <row r="3" spans="2:11" x14ac:dyDescent="0.25">
      <c r="B3" s="60" t="s">
        <v>238</v>
      </c>
      <c r="C3" s="60" t="s">
        <v>103</v>
      </c>
      <c r="D3" s="32" t="s">
        <v>40</v>
      </c>
      <c r="E3" t="s">
        <v>104</v>
      </c>
      <c r="F3" s="23" t="s">
        <v>135</v>
      </c>
      <c r="G3" t="s">
        <v>115</v>
      </c>
      <c r="H3" t="s">
        <v>153</v>
      </c>
      <c r="I3" t="s">
        <v>114</v>
      </c>
      <c r="J3" t="s">
        <v>257</v>
      </c>
      <c r="K3" s="23" t="s">
        <v>124</v>
      </c>
    </row>
    <row r="4" spans="2:11" x14ac:dyDescent="0.25">
      <c r="B4" s="6" t="s">
        <v>904</v>
      </c>
      <c r="C4" s="6" t="s">
        <v>905</v>
      </c>
      <c r="D4" s="8">
        <f ca="1">IFERROR(INDIRECT(Table_NamedRanges[[#This Row],[Named Range Paste]]),"Undefined/Error")</f>
        <v>0</v>
      </c>
      <c r="E4" s="8" t="str">
        <f>Table_NamedRanges[[#This Row],[Reference Paste]]</f>
        <v>='Travel Expense Summary'!$U$43</v>
      </c>
      <c r="F4" s="8" t="b">
        <f ca="1">ISERROR(VLOOKUP(Table_NamedRanges[[#This Row],[Named Range Paste]],OFFSET(INDEX(Table_ErrorList[],1,1),0,MATCH(Table_ErrorList[[#Headers],[Attention To Named Range]],Table_ErrorList[#Headers],0)-1,ROWS(Table_ErrorList[]),1),1,FALSE))=FALSE</f>
        <v>1</v>
      </c>
      <c r="G4" s="6" t="b">
        <f>MID(Table_NamedRanges[[#This Row],[Reference Text]],2,1)="'"</f>
        <v>1</v>
      </c>
      <c r="H4" s="6">
        <f>(LEN(Table_NamedRanges[[#This Row],[Reference Text]])-LEN(SUBSTITUTE(Table_NamedRanges[[#This Row],[Reference Text]],":","")))/LEN(":")</f>
        <v>0</v>
      </c>
      <c r="I4" s="6" t="b">
        <f>OR(ISERROR(FIND("[",Table_NamedRanges[[#This Row],[Reference Text]],1))=FALSE,ISERROR(FIND("]",Table_NamedRanges[[#This Row],[Reference Text]],1))=FALSE)</f>
        <v>0</v>
      </c>
      <c r="J4" s="6">
        <f>(LEN(Table_NamedRanges[[#This Row],[Reference Text]])-LEN(SUBSTITUTE(Table_NamedRanges[[#This Row],[Reference Text]],",","")))/LEN(",")</f>
        <v>0</v>
      </c>
      <c r="K4" s="6" t="str">
        <f>IF(Table_NamedRanges[[#This Row],[Starts with '']]=FALSE,"Other",IF(AND(Table_NamedRanges[[#This Row],[Count of Colon ":"]]=0,Table_NamedRanges[[#This Row],[Count of ","]]=0),"Single Cell",IF(Table_NamedRanges[[#This Row],[Count of Colon ":"]]=1,"Single Range", "Multiple (Cell or Range)")))</f>
        <v>Single Cell</v>
      </c>
    </row>
    <row r="5" spans="2:11" x14ac:dyDescent="0.25">
      <c r="B5" s="6" t="s">
        <v>842</v>
      </c>
      <c r="C5" s="8" t="s">
        <v>843</v>
      </c>
      <c r="D5" s="18">
        <f ca="1">IFERROR(INDIRECT(Table_NamedRanges[[#This Row],[Named Range Paste]]),"Undefined/Error")</f>
        <v>0</v>
      </c>
      <c r="E5" s="18" t="str">
        <f>Table_NamedRanges[[#This Row],[Reference Paste]]</f>
        <v>='Travel Expense Summary'!$M$42</v>
      </c>
      <c r="F5" s="18" t="b">
        <f ca="1">ISERROR(VLOOKUP(Table_NamedRanges[[#This Row],[Named Range Paste]],OFFSET(INDEX(Table_ErrorList[],1,1),0,MATCH(Table_ErrorList[[#Headers],[Attention To Named Range]],Table_ErrorList[#Headers],0)-1,ROWS(Table_ErrorList[]),1),1,FALSE))=FALSE</f>
        <v>0</v>
      </c>
      <c r="G5" s="20" t="b">
        <f>MID(Table_NamedRanges[[#This Row],[Reference Text]],2,1)="'"</f>
        <v>1</v>
      </c>
      <c r="H5" s="20">
        <f>(LEN(Table_NamedRanges[[#This Row],[Reference Text]])-LEN(SUBSTITUTE(Table_NamedRanges[[#This Row],[Reference Text]],":","")))/LEN(":")</f>
        <v>0</v>
      </c>
      <c r="I5" s="20" t="b">
        <f>OR(ISERROR(FIND("[",Table_NamedRanges[[#This Row],[Reference Text]],1))=FALSE,ISERROR(FIND("]",Table_NamedRanges[[#This Row],[Reference Text]],1))=FALSE)</f>
        <v>0</v>
      </c>
      <c r="J5" s="20">
        <f>(LEN(Table_NamedRanges[[#This Row],[Reference Text]])-LEN(SUBSTITUTE(Table_NamedRanges[[#This Row],[Reference Text]],",","")))/LEN(",")</f>
        <v>0</v>
      </c>
      <c r="K5" s="20" t="str">
        <f>IF(Table_NamedRanges[[#This Row],[Starts with '']]=FALSE,"Other",IF(AND(Table_NamedRanges[[#This Row],[Count of Colon ":"]]=0,Table_NamedRanges[[#This Row],[Count of ","]]=0),"Single Cell",IF(Table_NamedRanges[[#This Row],[Count of Colon ":"]]=1,"Single Range", "Multiple (Cell or Range)")))</f>
        <v>Single Cell</v>
      </c>
    </row>
    <row r="6" spans="2:11" x14ac:dyDescent="0.25">
      <c r="B6" s="6" t="s">
        <v>844</v>
      </c>
      <c r="C6" s="8" t="s">
        <v>845</v>
      </c>
      <c r="D6" s="18">
        <f ca="1">IFERROR(INDIRECT(Table_NamedRanges[[#This Row],[Named Range Paste]]),"Undefined/Error")</f>
        <v>0</v>
      </c>
      <c r="E6" s="18" t="str">
        <f>Table_NamedRanges[[#This Row],[Reference Paste]]</f>
        <v>='Travel Expense Summary'!$M$43</v>
      </c>
      <c r="F6" s="18" t="b">
        <f ca="1">ISERROR(VLOOKUP(Table_NamedRanges[[#This Row],[Named Range Paste]],OFFSET(INDEX(Table_ErrorList[],1,1),0,MATCH(Table_ErrorList[[#Headers],[Attention To Named Range]],Table_ErrorList[#Headers],0)-1,ROWS(Table_ErrorList[]),1),1,FALSE))=FALSE</f>
        <v>0</v>
      </c>
      <c r="G6" s="20" t="b">
        <f>MID(Table_NamedRanges[[#This Row],[Reference Text]],2,1)="'"</f>
        <v>1</v>
      </c>
      <c r="H6" s="20">
        <f>(LEN(Table_NamedRanges[[#This Row],[Reference Text]])-LEN(SUBSTITUTE(Table_NamedRanges[[#This Row],[Reference Text]],":","")))/LEN(":")</f>
        <v>0</v>
      </c>
      <c r="I6" s="20" t="b">
        <f>OR(ISERROR(FIND("[",Table_NamedRanges[[#This Row],[Reference Text]],1))=FALSE,ISERROR(FIND("]",Table_NamedRanges[[#This Row],[Reference Text]],1))=FALSE)</f>
        <v>0</v>
      </c>
      <c r="J6" s="20">
        <f>(LEN(Table_NamedRanges[[#This Row],[Reference Text]])-LEN(SUBSTITUTE(Table_NamedRanges[[#This Row],[Reference Text]],",","")))/LEN(",")</f>
        <v>0</v>
      </c>
      <c r="K6" s="20" t="str">
        <f>IF(Table_NamedRanges[[#This Row],[Starts with '']]=FALSE,"Other",IF(AND(Table_NamedRanges[[#This Row],[Count of Colon ":"]]=0,Table_NamedRanges[[#This Row],[Count of ","]]=0),"Single Cell",IF(Table_NamedRanges[[#This Row],[Count of Colon ":"]]=1,"Single Range", "Multiple (Cell or Range)")))</f>
        <v>Single Cell</v>
      </c>
    </row>
    <row r="7" spans="2:11" x14ac:dyDescent="0.25">
      <c r="B7" s="6" t="s">
        <v>846</v>
      </c>
      <c r="C7" s="8" t="s">
        <v>847</v>
      </c>
      <c r="D7" s="18">
        <f ca="1">IFERROR(INDIRECT(Table_NamedRanges[[#This Row],[Named Range Paste]]),"Undefined/Error")</f>
        <v>0</v>
      </c>
      <c r="E7" s="18" t="str">
        <f>Table_NamedRanges[[#This Row],[Reference Paste]]</f>
        <v>='Travel Expense Summary'!$M$44</v>
      </c>
      <c r="F7" s="18" t="b">
        <f ca="1">ISERROR(VLOOKUP(Table_NamedRanges[[#This Row],[Named Range Paste]],OFFSET(INDEX(Table_ErrorList[],1,1),0,MATCH(Table_ErrorList[[#Headers],[Attention To Named Range]],Table_ErrorList[#Headers],0)-1,ROWS(Table_ErrorList[]),1),1,FALSE))=FALSE</f>
        <v>0</v>
      </c>
      <c r="G7" s="20" t="b">
        <f>MID(Table_NamedRanges[[#This Row],[Reference Text]],2,1)="'"</f>
        <v>1</v>
      </c>
      <c r="H7" s="20">
        <f>(LEN(Table_NamedRanges[[#This Row],[Reference Text]])-LEN(SUBSTITUTE(Table_NamedRanges[[#This Row],[Reference Text]],":","")))/LEN(":")</f>
        <v>0</v>
      </c>
      <c r="I7" s="20" t="b">
        <f>OR(ISERROR(FIND("[",Table_NamedRanges[[#This Row],[Reference Text]],1))=FALSE,ISERROR(FIND("]",Table_NamedRanges[[#This Row],[Reference Text]],1))=FALSE)</f>
        <v>0</v>
      </c>
      <c r="J7" s="20">
        <f>(LEN(Table_NamedRanges[[#This Row],[Reference Text]])-LEN(SUBSTITUTE(Table_NamedRanges[[#This Row],[Reference Text]],",","")))/LEN(",")</f>
        <v>0</v>
      </c>
      <c r="K7" s="20" t="str">
        <f>IF(Table_NamedRanges[[#This Row],[Starts with '']]=FALSE,"Other",IF(AND(Table_NamedRanges[[#This Row],[Count of Colon ":"]]=0,Table_NamedRanges[[#This Row],[Count of ","]]=0),"Single Cell",IF(Table_NamedRanges[[#This Row],[Count of Colon ":"]]=1,"Single Range", "Multiple (Cell or Range)")))</f>
        <v>Single Cell</v>
      </c>
    </row>
    <row r="8" spans="2:11" x14ac:dyDescent="0.25">
      <c r="B8" s="6" t="s">
        <v>848</v>
      </c>
      <c r="C8" s="8" t="s">
        <v>849</v>
      </c>
      <c r="D8" s="18">
        <f ca="1">IFERROR(INDIRECT(Table_NamedRanges[[#This Row],[Named Range Paste]]),"Undefined/Error")</f>
        <v>0</v>
      </c>
      <c r="E8" s="18" t="str">
        <f>Table_NamedRanges[[#This Row],[Reference Paste]]</f>
        <v>='Travel Expense Summary'!$M$45</v>
      </c>
      <c r="F8" s="18" t="b">
        <f ca="1">ISERROR(VLOOKUP(Table_NamedRanges[[#This Row],[Named Range Paste]],OFFSET(INDEX(Table_ErrorList[],1,1),0,MATCH(Table_ErrorList[[#Headers],[Attention To Named Range]],Table_ErrorList[#Headers],0)-1,ROWS(Table_ErrorList[]),1),1,FALSE))=FALSE</f>
        <v>0</v>
      </c>
      <c r="G8" s="20" t="b">
        <f>MID(Table_NamedRanges[[#This Row],[Reference Text]],2,1)="'"</f>
        <v>1</v>
      </c>
      <c r="H8" s="20">
        <f>(LEN(Table_NamedRanges[[#This Row],[Reference Text]])-LEN(SUBSTITUTE(Table_NamedRanges[[#This Row],[Reference Text]],":","")))/LEN(":")</f>
        <v>0</v>
      </c>
      <c r="I8" s="20" t="b">
        <f>OR(ISERROR(FIND("[",Table_NamedRanges[[#This Row],[Reference Text]],1))=FALSE,ISERROR(FIND("]",Table_NamedRanges[[#This Row],[Reference Text]],1))=FALSE)</f>
        <v>0</v>
      </c>
      <c r="J8" s="20">
        <f>(LEN(Table_NamedRanges[[#This Row],[Reference Text]])-LEN(SUBSTITUTE(Table_NamedRanges[[#This Row],[Reference Text]],",","")))/LEN(",")</f>
        <v>0</v>
      </c>
      <c r="K8" s="20" t="str">
        <f>IF(Table_NamedRanges[[#This Row],[Starts with '']]=FALSE,"Other",IF(AND(Table_NamedRanges[[#This Row],[Count of Colon ":"]]=0,Table_NamedRanges[[#This Row],[Count of ","]]=0),"Single Cell",IF(Table_NamedRanges[[#This Row],[Count of Colon ":"]]=1,"Single Range", "Multiple (Cell or Range)")))</f>
        <v>Single Cell</v>
      </c>
    </row>
    <row r="9" spans="2:11" ht="45" x14ac:dyDescent="0.25">
      <c r="B9" s="6" t="s">
        <v>841</v>
      </c>
      <c r="C9" s="8" t="s">
        <v>850</v>
      </c>
      <c r="D9" s="18" t="str">
        <f ca="1">IFERROR(INDIRECT(Table_NamedRanges[[#This Row],[Named Range Paste]]),"Undefined/Error")</f>
        <v>Undefined/Error</v>
      </c>
      <c r="E9" s="18" t="str">
        <f>Table_NamedRanges[[#This Row],[Reference Paste]]</f>
        <v>='Travel Expense Summary'!$M$42,'Travel Expense Summary'!$M$43,'Travel Expense Summary'!$M$44,'Travel Expense Summary'!$M$45</v>
      </c>
      <c r="F9" s="18" t="b">
        <f ca="1">ISERROR(VLOOKUP(Table_NamedRanges[[#This Row],[Named Range Paste]],OFFSET(INDEX(Table_ErrorList[],1,1),0,MATCH(Table_ErrorList[[#Headers],[Attention To Named Range]],Table_ErrorList[#Headers],0)-1,ROWS(Table_ErrorList[]),1),1,FALSE))=FALSE</f>
        <v>1</v>
      </c>
      <c r="G9" s="20" t="b">
        <f>MID(Table_NamedRanges[[#This Row],[Reference Text]],2,1)="'"</f>
        <v>1</v>
      </c>
      <c r="H9" s="20">
        <f>(LEN(Table_NamedRanges[[#This Row],[Reference Text]])-LEN(SUBSTITUTE(Table_NamedRanges[[#This Row],[Reference Text]],":","")))/LEN(":")</f>
        <v>0</v>
      </c>
      <c r="I9" s="20" t="b">
        <f>OR(ISERROR(FIND("[",Table_NamedRanges[[#This Row],[Reference Text]],1))=FALSE,ISERROR(FIND("]",Table_NamedRanges[[#This Row],[Reference Text]],1))=FALSE)</f>
        <v>0</v>
      </c>
      <c r="J9" s="20">
        <f>(LEN(Table_NamedRanges[[#This Row],[Reference Text]])-LEN(SUBSTITUTE(Table_NamedRanges[[#This Row],[Reference Text]],",","")))/LEN(",")</f>
        <v>3</v>
      </c>
      <c r="K9" s="20" t="str">
        <f>IF(Table_NamedRanges[[#This Row],[Starts with '']]=FALSE,"Other",IF(AND(Table_NamedRanges[[#This Row],[Count of Colon ":"]]=0,Table_NamedRanges[[#This Row],[Count of ","]]=0),"Single Cell",IF(Table_NamedRanges[[#This Row],[Count of Colon ":"]]=1,"Single Range", "Multiple (Cell or Range)")))</f>
        <v>Multiple (Cell or Range)</v>
      </c>
    </row>
    <row r="10" spans="2:11" x14ac:dyDescent="0.25">
      <c r="B10" s="6" t="s">
        <v>851</v>
      </c>
      <c r="C10" s="8" t="s">
        <v>852</v>
      </c>
      <c r="D10" s="18">
        <f ca="1">IFERROR(INDIRECT(Table_NamedRanges[[#This Row],[Named Range Paste]]),"Undefined/Error")</f>
        <v>0</v>
      </c>
      <c r="E10" s="18" t="str">
        <f>Table_NamedRanges[[#This Row],[Reference Paste]]</f>
        <v>='Travel Expense Summary'!$J$42</v>
      </c>
      <c r="F10" s="18" t="b">
        <f ca="1">ISERROR(VLOOKUP(Table_NamedRanges[[#This Row],[Named Range Paste]],OFFSET(INDEX(Table_ErrorList[],1,1),0,MATCH(Table_ErrorList[[#Headers],[Attention To Named Range]],Table_ErrorList[#Headers],0)-1,ROWS(Table_ErrorList[]),1),1,FALSE))=FALSE</f>
        <v>1</v>
      </c>
      <c r="G10" s="20" t="b">
        <f>MID(Table_NamedRanges[[#This Row],[Reference Text]],2,1)="'"</f>
        <v>1</v>
      </c>
      <c r="H10" s="20">
        <f>(LEN(Table_NamedRanges[[#This Row],[Reference Text]])-LEN(SUBSTITUTE(Table_NamedRanges[[#This Row],[Reference Text]],":","")))/LEN(":")</f>
        <v>0</v>
      </c>
      <c r="I10" s="20" t="b">
        <f>OR(ISERROR(FIND("[",Table_NamedRanges[[#This Row],[Reference Text]],1))=FALSE,ISERROR(FIND("]",Table_NamedRanges[[#This Row],[Reference Text]],1))=FALSE)</f>
        <v>0</v>
      </c>
      <c r="J10" s="20">
        <f>(LEN(Table_NamedRanges[[#This Row],[Reference Text]])-LEN(SUBSTITUTE(Table_NamedRanges[[#This Row],[Reference Text]],",","")))/LEN(",")</f>
        <v>0</v>
      </c>
      <c r="K10" s="20" t="str">
        <f>IF(Table_NamedRanges[[#This Row],[Starts with '']]=FALSE,"Other",IF(AND(Table_NamedRanges[[#This Row],[Count of Colon ":"]]=0,Table_NamedRanges[[#This Row],[Count of ","]]=0),"Single Cell",IF(Table_NamedRanges[[#This Row],[Count of Colon ":"]]=1,"Single Range", "Multiple (Cell or Range)")))</f>
        <v>Single Cell</v>
      </c>
    </row>
    <row r="11" spans="2:11" x14ac:dyDescent="0.25">
      <c r="B11" s="6" t="s">
        <v>853</v>
      </c>
      <c r="C11" s="8" t="s">
        <v>854</v>
      </c>
      <c r="D11" s="18">
        <f ca="1">IFERROR(INDIRECT(Table_NamedRanges[[#This Row],[Named Range Paste]]),"Undefined/Error")</f>
        <v>0</v>
      </c>
      <c r="E11" s="18" t="str">
        <f>Table_NamedRanges[[#This Row],[Reference Paste]]</f>
        <v>='Travel Expense Summary'!$J$43</v>
      </c>
      <c r="F11" s="18" t="b">
        <f ca="1">ISERROR(VLOOKUP(Table_NamedRanges[[#This Row],[Named Range Paste]],OFFSET(INDEX(Table_ErrorList[],1,1),0,MATCH(Table_ErrorList[[#Headers],[Attention To Named Range]],Table_ErrorList[#Headers],0)-1,ROWS(Table_ErrorList[]),1),1,FALSE))=FALSE</f>
        <v>1</v>
      </c>
      <c r="G11" s="20" t="b">
        <f>MID(Table_NamedRanges[[#This Row],[Reference Text]],2,1)="'"</f>
        <v>1</v>
      </c>
      <c r="H11" s="20">
        <f>(LEN(Table_NamedRanges[[#This Row],[Reference Text]])-LEN(SUBSTITUTE(Table_NamedRanges[[#This Row],[Reference Text]],":","")))/LEN(":")</f>
        <v>0</v>
      </c>
      <c r="I11" s="20" t="b">
        <f>OR(ISERROR(FIND("[",Table_NamedRanges[[#This Row],[Reference Text]],1))=FALSE,ISERROR(FIND("]",Table_NamedRanges[[#This Row],[Reference Text]],1))=FALSE)</f>
        <v>0</v>
      </c>
      <c r="J11" s="20">
        <f>(LEN(Table_NamedRanges[[#This Row],[Reference Text]])-LEN(SUBSTITUTE(Table_NamedRanges[[#This Row],[Reference Text]],",","")))/LEN(",")</f>
        <v>0</v>
      </c>
      <c r="K11" s="20" t="str">
        <f>IF(Table_NamedRanges[[#This Row],[Starts with '']]=FALSE,"Other",IF(AND(Table_NamedRanges[[#This Row],[Count of Colon ":"]]=0,Table_NamedRanges[[#This Row],[Count of ","]]=0),"Single Cell",IF(Table_NamedRanges[[#This Row],[Count of Colon ":"]]=1,"Single Range", "Multiple (Cell or Range)")))</f>
        <v>Single Cell</v>
      </c>
    </row>
    <row r="12" spans="2:11" x14ac:dyDescent="0.25">
      <c r="B12" s="6" t="s">
        <v>855</v>
      </c>
      <c r="C12" s="8" t="s">
        <v>856</v>
      </c>
      <c r="D12" s="18">
        <f ca="1">IFERROR(INDIRECT(Table_NamedRanges[[#This Row],[Named Range Paste]]),"Undefined/Error")</f>
        <v>0</v>
      </c>
      <c r="E12" s="18" t="str">
        <f>Table_NamedRanges[[#This Row],[Reference Paste]]</f>
        <v>='Travel Expense Summary'!$J$44</v>
      </c>
      <c r="F12" s="18" t="b">
        <f ca="1">ISERROR(VLOOKUP(Table_NamedRanges[[#This Row],[Named Range Paste]],OFFSET(INDEX(Table_ErrorList[],1,1),0,MATCH(Table_ErrorList[[#Headers],[Attention To Named Range]],Table_ErrorList[#Headers],0)-1,ROWS(Table_ErrorList[]),1),1,FALSE))=FALSE</f>
        <v>1</v>
      </c>
      <c r="G12" s="20" t="b">
        <f>MID(Table_NamedRanges[[#This Row],[Reference Text]],2,1)="'"</f>
        <v>1</v>
      </c>
      <c r="H12" s="20">
        <f>(LEN(Table_NamedRanges[[#This Row],[Reference Text]])-LEN(SUBSTITUTE(Table_NamedRanges[[#This Row],[Reference Text]],":","")))/LEN(":")</f>
        <v>0</v>
      </c>
      <c r="I12" s="20" t="b">
        <f>OR(ISERROR(FIND("[",Table_NamedRanges[[#This Row],[Reference Text]],1))=FALSE,ISERROR(FIND("]",Table_NamedRanges[[#This Row],[Reference Text]],1))=FALSE)</f>
        <v>0</v>
      </c>
      <c r="J12" s="20">
        <f>(LEN(Table_NamedRanges[[#This Row],[Reference Text]])-LEN(SUBSTITUTE(Table_NamedRanges[[#This Row],[Reference Text]],",","")))/LEN(",")</f>
        <v>0</v>
      </c>
      <c r="K12" s="20" t="str">
        <f>IF(Table_NamedRanges[[#This Row],[Starts with '']]=FALSE,"Other",IF(AND(Table_NamedRanges[[#This Row],[Count of Colon ":"]]=0,Table_NamedRanges[[#This Row],[Count of ","]]=0),"Single Cell",IF(Table_NamedRanges[[#This Row],[Count of Colon ":"]]=1,"Single Range", "Multiple (Cell or Range)")))</f>
        <v>Single Cell</v>
      </c>
    </row>
    <row r="13" spans="2:11" x14ac:dyDescent="0.25">
      <c r="B13" s="6" t="s">
        <v>857</v>
      </c>
      <c r="C13" s="8" t="s">
        <v>858</v>
      </c>
      <c r="D13" s="18">
        <f ca="1">IFERROR(INDIRECT(Table_NamedRanges[[#This Row],[Named Range Paste]]),"Undefined/Error")</f>
        <v>0</v>
      </c>
      <c r="E13" s="18" t="str">
        <f>Table_NamedRanges[[#This Row],[Reference Paste]]</f>
        <v>='Travel Expense Summary'!$J$45</v>
      </c>
      <c r="F13" s="18" t="b">
        <f ca="1">ISERROR(VLOOKUP(Table_NamedRanges[[#This Row],[Named Range Paste]],OFFSET(INDEX(Table_ErrorList[],1,1),0,MATCH(Table_ErrorList[[#Headers],[Attention To Named Range]],Table_ErrorList[#Headers],0)-1,ROWS(Table_ErrorList[]),1),1,FALSE))=FALSE</f>
        <v>1</v>
      </c>
      <c r="G13" s="20" t="b">
        <f>MID(Table_NamedRanges[[#This Row],[Reference Text]],2,1)="'"</f>
        <v>1</v>
      </c>
      <c r="H13" s="20">
        <f>(LEN(Table_NamedRanges[[#This Row],[Reference Text]])-LEN(SUBSTITUTE(Table_NamedRanges[[#This Row],[Reference Text]],":","")))/LEN(":")</f>
        <v>0</v>
      </c>
      <c r="I13" s="20" t="b">
        <f>OR(ISERROR(FIND("[",Table_NamedRanges[[#This Row],[Reference Text]],1))=FALSE,ISERROR(FIND("]",Table_NamedRanges[[#This Row],[Reference Text]],1))=FALSE)</f>
        <v>0</v>
      </c>
      <c r="J13" s="20">
        <f>(LEN(Table_NamedRanges[[#This Row],[Reference Text]])-LEN(SUBSTITUTE(Table_NamedRanges[[#This Row],[Reference Text]],",","")))/LEN(",")</f>
        <v>0</v>
      </c>
      <c r="K13" s="20" t="str">
        <f>IF(Table_NamedRanges[[#This Row],[Starts with '']]=FALSE,"Other",IF(AND(Table_NamedRanges[[#This Row],[Count of Colon ":"]]=0,Table_NamedRanges[[#This Row],[Count of ","]]=0),"Single Cell",IF(Table_NamedRanges[[#This Row],[Count of Colon ":"]]=1,"Single Range", "Multiple (Cell or Range)")))</f>
        <v>Single Cell</v>
      </c>
    </row>
    <row r="14" spans="2:11" x14ac:dyDescent="0.25">
      <c r="B14" s="6" t="s">
        <v>859</v>
      </c>
      <c r="C14" s="8" t="s">
        <v>860</v>
      </c>
      <c r="D14" s="18" t="str">
        <f ca="1">IFERROR(INDIRECT(Table_NamedRanges[[#This Row],[Named Range Paste]]),"Undefined/Error")</f>
        <v>Undefined/Error</v>
      </c>
      <c r="E14" s="18" t="str">
        <f>Table_NamedRanges[[#This Row],[Reference Paste]]</f>
        <v>='Travel Expense Summary'!$J$42:$L$45</v>
      </c>
      <c r="F14" s="18" t="b">
        <f ca="1">ISERROR(VLOOKUP(Table_NamedRanges[[#This Row],[Named Range Paste]],OFFSET(INDEX(Table_ErrorList[],1,1),0,MATCH(Table_ErrorList[[#Headers],[Attention To Named Range]],Table_ErrorList[#Headers],0)-1,ROWS(Table_ErrorList[]),1),1,FALSE))=FALSE</f>
        <v>1</v>
      </c>
      <c r="G14" s="20" t="b">
        <f>MID(Table_NamedRanges[[#This Row],[Reference Text]],2,1)="'"</f>
        <v>1</v>
      </c>
      <c r="H14" s="20">
        <f>(LEN(Table_NamedRanges[[#This Row],[Reference Text]])-LEN(SUBSTITUTE(Table_NamedRanges[[#This Row],[Reference Text]],":","")))/LEN(":")</f>
        <v>1</v>
      </c>
      <c r="I14" s="20" t="b">
        <f>OR(ISERROR(FIND("[",Table_NamedRanges[[#This Row],[Reference Text]],1))=FALSE,ISERROR(FIND("]",Table_NamedRanges[[#This Row],[Reference Text]],1))=FALSE)</f>
        <v>0</v>
      </c>
      <c r="J14" s="20">
        <f>(LEN(Table_NamedRanges[[#This Row],[Reference Text]])-LEN(SUBSTITUTE(Table_NamedRanges[[#This Row],[Reference Text]],",","")))/LEN(",")</f>
        <v>0</v>
      </c>
      <c r="K14" s="20" t="str">
        <f>IF(Table_NamedRanges[[#This Row],[Starts with '']]=FALSE,"Other",IF(AND(Table_NamedRanges[[#This Row],[Count of Colon ":"]]=0,Table_NamedRanges[[#This Row],[Count of ","]]=0),"Single Cell",IF(Table_NamedRanges[[#This Row],[Count of Colon ":"]]=1,"Single Range", "Multiple (Cell or Range)")))</f>
        <v>Single Range</v>
      </c>
    </row>
    <row r="15" spans="2:11" x14ac:dyDescent="0.25">
      <c r="B15" s="6" t="s">
        <v>225</v>
      </c>
      <c r="C15" s="8" t="s">
        <v>509</v>
      </c>
      <c r="D15" s="18">
        <f ca="1">IFERROR(INDIRECT(Table_NamedRanges[[#This Row],[Named Range Paste]]),"Undefined/Error")</f>
        <v>0</v>
      </c>
      <c r="E15" s="18" t="str">
        <f>Table_NamedRanges[[#This Row],[Reference Paste]]</f>
        <v>='Travel Expense Summary'!$AE$24</v>
      </c>
      <c r="F15" s="18" t="b">
        <f ca="1">ISERROR(VLOOKUP(Table_NamedRanges[[#This Row],[Named Range Paste]],OFFSET(INDEX(Table_ErrorList[],1,1),0,MATCH(Table_ErrorList[[#Headers],[Attention To Named Range]],Table_ErrorList[#Headers],0)-1,ROWS(Table_ErrorList[]),1),1,FALSE))=FALSE</f>
        <v>0</v>
      </c>
      <c r="G15" s="20" t="b">
        <f>MID(Table_NamedRanges[[#This Row],[Reference Text]],2,1)="'"</f>
        <v>1</v>
      </c>
      <c r="H15" s="20">
        <f>(LEN(Table_NamedRanges[[#This Row],[Reference Text]])-LEN(SUBSTITUTE(Table_NamedRanges[[#This Row],[Reference Text]],":","")))/LEN(":")</f>
        <v>0</v>
      </c>
      <c r="I15" s="20" t="b">
        <f>OR(ISERROR(FIND("[",Table_NamedRanges[[#This Row],[Reference Text]],1))=FALSE,ISERROR(FIND("]",Table_NamedRanges[[#This Row],[Reference Text]],1))=FALSE)</f>
        <v>0</v>
      </c>
      <c r="J15" s="20">
        <f>(LEN(Table_NamedRanges[[#This Row],[Reference Text]])-LEN(SUBSTITUTE(Table_NamedRanges[[#This Row],[Reference Text]],",","")))/LEN(",")</f>
        <v>0</v>
      </c>
      <c r="K15" s="20" t="str">
        <f>IF(Table_NamedRanges[[#This Row],[Starts with '']]=FALSE,"Other",IF(AND(Table_NamedRanges[[#This Row],[Count of Colon ":"]]=0,Table_NamedRanges[[#This Row],[Count of ","]]=0),"Single Cell",IF(Table_NamedRanges[[#This Row],[Count of Colon ":"]]=1,"Single Range", "Multiple (Cell or Range)")))</f>
        <v>Single Cell</v>
      </c>
    </row>
    <row r="16" spans="2:11" x14ac:dyDescent="0.25">
      <c r="B16" s="6" t="s">
        <v>212</v>
      </c>
      <c r="C16" s="8" t="s">
        <v>1261</v>
      </c>
      <c r="D16" s="18">
        <f ca="1">IFERROR(INDIRECT(Table_NamedRanges[[#This Row],[Named Range Paste]]),"Undefined/Error")</f>
        <v>0.42</v>
      </c>
      <c r="E16" s="18" t="str">
        <f>Table_NamedRanges[[#This Row],[Reference Paste]]</f>
        <v>='Particulars Validation'!$Z$4</v>
      </c>
      <c r="F16" s="18" t="b">
        <f ca="1">ISERROR(VLOOKUP(Table_NamedRanges[[#This Row],[Named Range Paste]],OFFSET(INDEX(Table_ErrorList[],1,1),0,MATCH(Table_ErrorList[[#Headers],[Attention To Named Range]],Table_ErrorList[#Headers],0)-1,ROWS(Table_ErrorList[]),1),1,FALSE))=FALSE</f>
        <v>0</v>
      </c>
      <c r="G16" s="20" t="b">
        <f>MID(Table_NamedRanges[[#This Row],[Reference Text]],2,1)="'"</f>
        <v>1</v>
      </c>
      <c r="H16" s="20">
        <f>(LEN(Table_NamedRanges[[#This Row],[Reference Text]])-LEN(SUBSTITUTE(Table_NamedRanges[[#This Row],[Reference Text]],":","")))/LEN(":")</f>
        <v>0</v>
      </c>
      <c r="I16" s="20" t="b">
        <f>OR(ISERROR(FIND("[",Table_NamedRanges[[#This Row],[Reference Text]],1))=FALSE,ISERROR(FIND("]",Table_NamedRanges[[#This Row],[Reference Text]],1))=FALSE)</f>
        <v>0</v>
      </c>
      <c r="J16" s="20">
        <f>(LEN(Table_NamedRanges[[#This Row],[Reference Text]])-LEN(SUBSTITUTE(Table_NamedRanges[[#This Row],[Reference Text]],",","")))/LEN(",")</f>
        <v>0</v>
      </c>
      <c r="K16" s="20" t="str">
        <f>IF(Table_NamedRanges[[#This Row],[Starts with '']]=FALSE,"Other",IF(AND(Table_NamedRanges[[#This Row],[Count of Colon ":"]]=0,Table_NamedRanges[[#This Row],[Count of ","]]=0),"Single Cell",IF(Table_NamedRanges[[#This Row],[Count of Colon ":"]]=1,"Single Range", "Multiple (Cell or Range)")))</f>
        <v>Single Cell</v>
      </c>
    </row>
    <row r="17" spans="2:11" x14ac:dyDescent="0.25">
      <c r="B17" s="6" t="s">
        <v>93</v>
      </c>
      <c r="C17" s="8" t="s">
        <v>94</v>
      </c>
      <c r="D17" s="18" t="str">
        <f ca="1">IFERROR(INDIRECT(Table_NamedRanges[[#This Row],[Named Range Paste]]),"Undefined/Error")</f>
        <v>Undefined/Error</v>
      </c>
      <c r="E17" s="18" t="str">
        <f>Table_NamedRanges[[#This Row],[Reference Paste]]</f>
        <v>=Table_AddressType[Address Type]</v>
      </c>
      <c r="F17" s="18" t="b">
        <f ca="1">ISERROR(VLOOKUP(Table_NamedRanges[[#This Row],[Named Range Paste]],OFFSET(INDEX(Table_ErrorList[],1,1),0,MATCH(Table_ErrorList[[#Headers],[Attention To Named Range]],Table_ErrorList[#Headers],0)-1,ROWS(Table_ErrorList[]),1),1,FALSE))=FALSE</f>
        <v>0</v>
      </c>
      <c r="G17" s="20" t="b">
        <f>MID(Table_NamedRanges[[#This Row],[Reference Text]],2,1)="'"</f>
        <v>0</v>
      </c>
      <c r="H17" s="20">
        <f>(LEN(Table_NamedRanges[[#This Row],[Reference Text]])-LEN(SUBSTITUTE(Table_NamedRanges[[#This Row],[Reference Text]],":","")))/LEN(":")</f>
        <v>0</v>
      </c>
      <c r="I17" s="20" t="b">
        <f>OR(ISERROR(FIND("[",Table_NamedRanges[[#This Row],[Reference Text]],1))=FALSE,ISERROR(FIND("]",Table_NamedRanges[[#This Row],[Reference Text]],1))=FALSE)</f>
        <v>1</v>
      </c>
      <c r="J17" s="20">
        <f>(LEN(Table_NamedRanges[[#This Row],[Reference Text]])-LEN(SUBSTITUTE(Table_NamedRanges[[#This Row],[Reference Text]],",","")))/LEN(",")</f>
        <v>0</v>
      </c>
      <c r="K17" s="20" t="str">
        <f>IF(Table_NamedRanges[[#This Row],[Starts with '']]=FALSE,"Other",IF(AND(Table_NamedRanges[[#This Row],[Count of Colon ":"]]=0,Table_NamedRanges[[#This Row],[Count of ","]]=0),"Single Cell",IF(Table_NamedRanges[[#This Row],[Count of Colon ":"]]=1,"Single Range", "Multiple (Cell or Range)")))</f>
        <v>Other</v>
      </c>
    </row>
    <row r="18" spans="2:11" x14ac:dyDescent="0.25">
      <c r="B18" s="6" t="s">
        <v>79</v>
      </c>
      <c r="C18" s="8" t="s">
        <v>95</v>
      </c>
      <c r="D18" s="18" t="str">
        <f ca="1">IFERROR(INDIRECT(Table_NamedRanges[[#This Row],[Named Range Paste]]),"Undefined/Error")</f>
        <v>Undefined/Error</v>
      </c>
      <c r="E18" s="18" t="str">
        <f>Table_NamedRanges[[#This Row],[Reference Paste]]</f>
        <v>=Table_ClaimType[Claim Type]</v>
      </c>
      <c r="F18" s="18" t="b">
        <f ca="1">ISERROR(VLOOKUP(Table_NamedRanges[[#This Row],[Named Range Paste]],OFFSET(INDEX(Table_ErrorList[],1,1),0,MATCH(Table_ErrorList[[#Headers],[Attention To Named Range]],Table_ErrorList[#Headers],0)-1,ROWS(Table_ErrorList[]),1),1,FALSE))=FALSE</f>
        <v>0</v>
      </c>
      <c r="G18" s="20" t="b">
        <f>MID(Table_NamedRanges[[#This Row],[Reference Text]],2,1)="'"</f>
        <v>0</v>
      </c>
      <c r="H18" s="20">
        <f>(LEN(Table_NamedRanges[[#This Row],[Reference Text]])-LEN(SUBSTITUTE(Table_NamedRanges[[#This Row],[Reference Text]],":","")))/LEN(":")</f>
        <v>0</v>
      </c>
      <c r="I18" s="20" t="b">
        <f>OR(ISERROR(FIND("[",Table_NamedRanges[[#This Row],[Reference Text]],1))=FALSE,ISERROR(FIND("]",Table_NamedRanges[[#This Row],[Reference Text]],1))=FALSE)</f>
        <v>1</v>
      </c>
      <c r="J18" s="20">
        <f>(LEN(Table_NamedRanges[[#This Row],[Reference Text]])-LEN(SUBSTITUTE(Table_NamedRanges[[#This Row],[Reference Text]],",","")))/LEN(",")</f>
        <v>0</v>
      </c>
      <c r="K18" s="20" t="str">
        <f>IF(Table_NamedRanges[[#This Row],[Starts with '']]=FALSE,"Other",IF(AND(Table_NamedRanges[[#This Row],[Count of Colon ":"]]=0,Table_NamedRanges[[#This Row],[Count of ","]]=0),"Single Cell",IF(Table_NamedRanges[[#This Row],[Count of Colon ":"]]=1,"Single Range", "Multiple (Cell or Range)")))</f>
        <v>Other</v>
      </c>
    </row>
    <row r="19" spans="2:11" x14ac:dyDescent="0.25">
      <c r="B19" s="6" t="s">
        <v>46</v>
      </c>
      <c r="C19" s="8" t="s">
        <v>226</v>
      </c>
      <c r="D19" s="18" t="str">
        <f ca="1">IFERROR(INDIRECT(Table_NamedRanges[[#This Row],[Named Range Paste]]),"Undefined/Error")</f>
        <v>Trans-Train</v>
      </c>
      <c r="E19" s="18" t="str">
        <f>Table_NamedRanges[[#This Row],[Reference Paste]]</f>
        <v>=Table_Expenses[Expense]</v>
      </c>
      <c r="F19" s="18" t="b">
        <f ca="1">ISERROR(VLOOKUP(Table_NamedRanges[[#This Row],[Named Range Paste]],OFFSET(INDEX(Table_ErrorList[],1,1),0,MATCH(Table_ErrorList[[#Headers],[Attention To Named Range]],Table_ErrorList[#Headers],0)-1,ROWS(Table_ErrorList[]),1),1,FALSE))=FALSE</f>
        <v>0</v>
      </c>
      <c r="G19" s="20" t="b">
        <f>MID(Table_NamedRanges[[#This Row],[Reference Text]],2,1)="'"</f>
        <v>0</v>
      </c>
      <c r="H19" s="20">
        <f>(LEN(Table_NamedRanges[[#This Row],[Reference Text]])-LEN(SUBSTITUTE(Table_NamedRanges[[#This Row],[Reference Text]],":","")))/LEN(":")</f>
        <v>0</v>
      </c>
      <c r="I19" s="20" t="b">
        <f>OR(ISERROR(FIND("[",Table_NamedRanges[[#This Row],[Reference Text]],1))=FALSE,ISERROR(FIND("]",Table_NamedRanges[[#This Row],[Reference Text]],1))=FALSE)</f>
        <v>1</v>
      </c>
      <c r="J19" s="20">
        <f>(LEN(Table_NamedRanges[[#This Row],[Reference Text]])-LEN(SUBSTITUTE(Table_NamedRanges[[#This Row],[Reference Text]],",","")))/LEN(",")</f>
        <v>0</v>
      </c>
      <c r="K19" s="20" t="str">
        <f>IF(Table_NamedRanges[[#This Row],[Starts with '']]=FALSE,"Other",IF(AND(Table_NamedRanges[[#This Row],[Count of Colon ":"]]=0,Table_NamedRanges[[#This Row],[Count of ","]]=0),"Single Cell",IF(Table_NamedRanges[[#This Row],[Count of Colon ":"]]=1,"Single Range", "Multiple (Cell or Range)")))</f>
        <v>Other</v>
      </c>
    </row>
    <row r="20" spans="2:11" x14ac:dyDescent="0.25">
      <c r="B20" s="6" t="s">
        <v>1112</v>
      </c>
      <c r="C20" s="8" t="s">
        <v>1123</v>
      </c>
      <c r="D20" s="18" t="str">
        <f ca="1">IFERROR(INDIRECT(Table_NamedRanges[[#This Row],[Named Range Paste]]),"Undefined/Error")</f>
        <v>Undefined/Error</v>
      </c>
      <c r="E20" s="18" t="str">
        <f>Table_NamedRanges[[#This Row],[Reference Paste]]</f>
        <v>=Table_KMCentre[Community]</v>
      </c>
      <c r="F20" s="18" t="b">
        <f ca="1">ISERROR(VLOOKUP(Table_NamedRanges[[#This Row],[Named Range Paste]],OFFSET(INDEX(Table_ErrorList[],1,1),0,MATCH(Table_ErrorList[[#Headers],[Attention To Named Range]],Table_ErrorList[#Headers],0)-1,ROWS(Table_ErrorList[]),1),1,FALSE))=FALSE</f>
        <v>0</v>
      </c>
      <c r="G20" s="20" t="b">
        <f>MID(Table_NamedRanges[[#This Row],[Reference Text]],2,1)="'"</f>
        <v>0</v>
      </c>
      <c r="H20" s="20">
        <f>(LEN(Table_NamedRanges[[#This Row],[Reference Text]])-LEN(SUBSTITUTE(Table_NamedRanges[[#This Row],[Reference Text]],":","")))/LEN(":")</f>
        <v>0</v>
      </c>
      <c r="I20" s="20" t="b">
        <f>OR(ISERROR(FIND("[",Table_NamedRanges[[#This Row],[Reference Text]],1))=FALSE,ISERROR(FIND("]",Table_NamedRanges[[#This Row],[Reference Text]],1))=FALSE)</f>
        <v>1</v>
      </c>
      <c r="J20" s="20">
        <f>(LEN(Table_NamedRanges[[#This Row],[Reference Text]])-LEN(SUBSTITUTE(Table_NamedRanges[[#This Row],[Reference Text]],",","")))/LEN(",")</f>
        <v>0</v>
      </c>
      <c r="K20" s="20" t="str">
        <f>IF(Table_NamedRanges[[#This Row],[Starts with '']]=FALSE,"Other",IF(AND(Table_NamedRanges[[#This Row],[Count of Colon ":"]]=0,Table_NamedRanges[[#This Row],[Count of ","]]=0),"Single Cell",IF(Table_NamedRanges[[#This Row],[Count of Colon ":"]]=1,"Single Range", "Multiple (Cell or Range)")))</f>
        <v>Other</v>
      </c>
    </row>
    <row r="21" spans="2:11" x14ac:dyDescent="0.25">
      <c r="B21" s="6" t="s">
        <v>1110</v>
      </c>
      <c r="C21" s="8" t="s">
        <v>1124</v>
      </c>
      <c r="D21" s="18" t="str">
        <f ca="1">IFERROR(INDIRECT(Table_NamedRanges[[#This Row],[Named Range Paste]]),"Undefined/Error")</f>
        <v xml:space="preserve">Fort Frances </v>
      </c>
      <c r="E21" s="18" t="str">
        <f>Table_NamedRanges[[#This Row],[Reference Paste]]</f>
        <v>=Table_KMCommunity[Community]</v>
      </c>
      <c r="F21" s="18" t="b">
        <f ca="1">ISERROR(VLOOKUP(Table_NamedRanges[[#This Row],[Named Range Paste]],OFFSET(INDEX(Table_ErrorList[],1,1),0,MATCH(Table_ErrorList[[#Headers],[Attention To Named Range]],Table_ErrorList[#Headers],0)-1,ROWS(Table_ErrorList[]),1),1,FALSE))=FALSE</f>
        <v>0</v>
      </c>
      <c r="G21" s="20" t="b">
        <f>MID(Table_NamedRanges[[#This Row],[Reference Text]],2,1)="'"</f>
        <v>0</v>
      </c>
      <c r="H21" s="20">
        <f>(LEN(Table_NamedRanges[[#This Row],[Reference Text]])-LEN(SUBSTITUTE(Table_NamedRanges[[#This Row],[Reference Text]],":","")))/LEN(":")</f>
        <v>0</v>
      </c>
      <c r="I21" s="20" t="b">
        <f>OR(ISERROR(FIND("[",Table_NamedRanges[[#This Row],[Reference Text]],1))=FALSE,ISERROR(FIND("]",Table_NamedRanges[[#This Row],[Reference Text]],1))=FALSE)</f>
        <v>1</v>
      </c>
      <c r="J21" s="20">
        <f>(LEN(Table_NamedRanges[[#This Row],[Reference Text]])-LEN(SUBSTITUTE(Table_NamedRanges[[#This Row],[Reference Text]],",","")))/LEN(",")</f>
        <v>0</v>
      </c>
      <c r="K21" s="20" t="str">
        <f>IF(Table_NamedRanges[[#This Row],[Starts with '']]=FALSE,"Other",IF(AND(Table_NamedRanges[[#This Row],[Count of Colon ":"]]=0,Table_NamedRanges[[#This Row],[Count of ","]]=0),"Single Cell",IF(Table_NamedRanges[[#This Row],[Count of Colon ":"]]=1,"Single Range", "Multiple (Cell or Range)")))</f>
        <v>Other</v>
      </c>
    </row>
    <row r="22" spans="2:11" x14ac:dyDescent="0.25">
      <c r="B22" s="6" t="s">
        <v>145</v>
      </c>
      <c r="C22" s="8" t="s">
        <v>146</v>
      </c>
      <c r="D22" s="18" t="str">
        <f ca="1">IFERROR(INDIRECT(Table_NamedRanges[[#This Row],[Named Range Paste]]),"Undefined/Error")</f>
        <v>Select</v>
      </c>
      <c r="E22" s="18" t="str">
        <f>Table_NamedRanges[[#This Row],[Reference Paste]]</f>
        <v>='Particulars Validation'!$A$4</v>
      </c>
      <c r="F22" s="18" t="b">
        <f ca="1">ISERROR(VLOOKUP(Table_NamedRanges[[#This Row],[Named Range Paste]],OFFSET(INDEX(Table_ErrorList[],1,1),0,MATCH(Table_ErrorList[[#Headers],[Attention To Named Range]],Table_ErrorList[#Headers],0)-1,ROWS(Table_ErrorList[]),1),1,FALSE))=FALSE</f>
        <v>0</v>
      </c>
      <c r="G22" s="20" t="b">
        <f>MID(Table_NamedRanges[[#This Row],[Reference Text]],2,1)="'"</f>
        <v>1</v>
      </c>
      <c r="H22" s="20">
        <f>(LEN(Table_NamedRanges[[#This Row],[Reference Text]])-LEN(SUBSTITUTE(Table_NamedRanges[[#This Row],[Reference Text]],":","")))/LEN(":")</f>
        <v>0</v>
      </c>
      <c r="I22" s="20" t="b">
        <f>OR(ISERROR(FIND("[",Table_NamedRanges[[#This Row],[Reference Text]],1))=FALSE,ISERROR(FIND("]",Table_NamedRanges[[#This Row],[Reference Text]],1))=FALSE)</f>
        <v>0</v>
      </c>
      <c r="J22" s="20">
        <f>(LEN(Table_NamedRanges[[#This Row],[Reference Text]])-LEN(SUBSTITUTE(Table_NamedRanges[[#This Row],[Reference Text]],",","")))/LEN(",")</f>
        <v>0</v>
      </c>
      <c r="K22" s="20" t="str">
        <f>IF(Table_NamedRanges[[#This Row],[Starts with '']]=FALSE,"Other",IF(AND(Table_NamedRanges[[#This Row],[Count of Colon ":"]]=0,Table_NamedRanges[[#This Row],[Count of ","]]=0),"Single Cell",IF(Table_NamedRanges[[#This Row],[Count of Colon ":"]]=1,"Single Range", "Multiple (Cell or Range)")))</f>
        <v>Single Cell</v>
      </c>
    </row>
    <row r="23" spans="2:11" x14ac:dyDescent="0.25">
      <c r="B23" s="6" t="s">
        <v>120</v>
      </c>
      <c r="C23" s="8" t="s">
        <v>125</v>
      </c>
      <c r="D23" s="18" t="str">
        <f ca="1">IFERROR(INDIRECT(Table_NamedRanges[[#This Row],[Named Range Paste]]),"Undefined/Error")</f>
        <v>Undefined/Error</v>
      </c>
      <c r="E23" s="18" t="str">
        <f>Table_NamedRanges[[#This Row],[Reference Paste]]</f>
        <v>=Table_PayeeType[Payee Type]</v>
      </c>
      <c r="F23" s="18" t="b">
        <f ca="1">ISERROR(VLOOKUP(Table_NamedRanges[[#This Row],[Named Range Paste]],OFFSET(INDEX(Table_ErrorList[],1,1),0,MATCH(Table_ErrorList[[#Headers],[Attention To Named Range]],Table_ErrorList[#Headers],0)-1,ROWS(Table_ErrorList[]),1),1,FALSE))=FALSE</f>
        <v>0</v>
      </c>
      <c r="G23" s="20" t="b">
        <f>MID(Table_NamedRanges[[#This Row],[Reference Text]],2,1)="'"</f>
        <v>0</v>
      </c>
      <c r="H23" s="20">
        <f>(LEN(Table_NamedRanges[[#This Row],[Reference Text]])-LEN(SUBSTITUTE(Table_NamedRanges[[#This Row],[Reference Text]],":","")))/LEN(":")</f>
        <v>0</v>
      </c>
      <c r="I23" s="20" t="b">
        <f>OR(ISERROR(FIND("[",Table_NamedRanges[[#This Row],[Reference Text]],1))=FALSE,ISERROR(FIND("]",Table_NamedRanges[[#This Row],[Reference Text]],1))=FALSE)</f>
        <v>1</v>
      </c>
      <c r="J23" s="20">
        <f>(LEN(Table_NamedRanges[[#This Row],[Reference Text]])-LEN(SUBSTITUTE(Table_NamedRanges[[#This Row],[Reference Text]],",","")))/LEN(",")</f>
        <v>0</v>
      </c>
      <c r="K23" s="20" t="str">
        <f>IF(Table_NamedRanges[[#This Row],[Starts with '']]=FALSE,"Other",IF(AND(Table_NamedRanges[[#This Row],[Count of Colon ":"]]=0,Table_NamedRanges[[#This Row],[Count of ","]]=0),"Single Cell",IF(Table_NamedRanges[[#This Row],[Count of Colon ":"]]=1,"Single Range", "Multiple (Cell or Range)")))</f>
        <v>Other</v>
      </c>
    </row>
    <row r="24" spans="2:11" x14ac:dyDescent="0.25">
      <c r="B24" s="6" t="s">
        <v>96</v>
      </c>
      <c r="C24" s="8" t="s">
        <v>97</v>
      </c>
      <c r="D24" s="18" t="str">
        <f ca="1">IFERROR(INDIRECT(Table_NamedRanges[[#This Row],[Named Range Paste]]),"Undefined/Error")</f>
        <v>Undefined/Error</v>
      </c>
      <c r="E24" s="18" t="str">
        <f>Table_NamedRanges[[#This Row],[Reference Paste]]</f>
        <v>=Table_PaymentOption[Banking Options]</v>
      </c>
      <c r="F24" s="18" t="b">
        <f ca="1">ISERROR(VLOOKUP(Table_NamedRanges[[#This Row],[Named Range Paste]],OFFSET(INDEX(Table_ErrorList[],1,1),0,MATCH(Table_ErrorList[[#Headers],[Attention To Named Range]],Table_ErrorList[#Headers],0)-1,ROWS(Table_ErrorList[]),1),1,FALSE))=FALSE</f>
        <v>0</v>
      </c>
      <c r="G24" s="20" t="b">
        <f>MID(Table_NamedRanges[[#This Row],[Reference Text]],2,1)="'"</f>
        <v>0</v>
      </c>
      <c r="H24" s="20">
        <f>(LEN(Table_NamedRanges[[#This Row],[Reference Text]])-LEN(SUBSTITUTE(Table_NamedRanges[[#This Row],[Reference Text]],":","")))/LEN(":")</f>
        <v>0</v>
      </c>
      <c r="I24" s="20" t="b">
        <f>OR(ISERROR(FIND("[",Table_NamedRanges[[#This Row],[Reference Text]],1))=FALSE,ISERROR(FIND("]",Table_NamedRanges[[#This Row],[Reference Text]],1))=FALSE)</f>
        <v>1</v>
      </c>
      <c r="J24" s="20">
        <f>(LEN(Table_NamedRanges[[#This Row],[Reference Text]])-LEN(SUBSTITUTE(Table_NamedRanges[[#This Row],[Reference Text]],",","")))/LEN(",")</f>
        <v>0</v>
      </c>
      <c r="K24" s="20" t="str">
        <f>IF(Table_NamedRanges[[#This Row],[Starts with '']]=FALSE,"Other",IF(AND(Table_NamedRanges[[#This Row],[Count of Colon ":"]]=0,Table_NamedRanges[[#This Row],[Count of ","]]=0),"Single Cell",IF(Table_NamedRanges[[#This Row],[Count of Colon ":"]]=1,"Single Range", "Multiple (Cell or Range)")))</f>
        <v>Other</v>
      </c>
    </row>
    <row r="25" spans="2:11" x14ac:dyDescent="0.25">
      <c r="B25" s="6" t="s">
        <v>98</v>
      </c>
      <c r="C25" s="8" t="s">
        <v>99</v>
      </c>
      <c r="D25" s="18" t="str">
        <f ca="1">IFERROR(INDIRECT(Table_NamedRanges[[#This Row],[Named Range Paste]]),"Undefined/Error")</f>
        <v>Undefined/Error</v>
      </c>
      <c r="E25" s="18" t="str">
        <f>Table_NamedRanges[[#This Row],[Reference Paste]]</f>
        <v>=Table_Prefix[Prefix]</v>
      </c>
      <c r="F25" s="18" t="b">
        <f ca="1">ISERROR(VLOOKUP(Table_NamedRanges[[#This Row],[Named Range Paste]],OFFSET(INDEX(Table_ErrorList[],1,1),0,MATCH(Table_ErrorList[[#Headers],[Attention To Named Range]],Table_ErrorList[#Headers],0)-1,ROWS(Table_ErrorList[]),1),1,FALSE))=FALSE</f>
        <v>0</v>
      </c>
      <c r="G25" s="20" t="b">
        <f>MID(Table_NamedRanges[[#This Row],[Reference Text]],2,1)="'"</f>
        <v>0</v>
      </c>
      <c r="H25" s="20">
        <f>(LEN(Table_NamedRanges[[#This Row],[Reference Text]])-LEN(SUBSTITUTE(Table_NamedRanges[[#This Row],[Reference Text]],":","")))/LEN(":")</f>
        <v>0</v>
      </c>
      <c r="I25" s="20" t="b">
        <f>OR(ISERROR(FIND("[",Table_NamedRanges[[#This Row],[Reference Text]],1))=FALSE,ISERROR(FIND("]",Table_NamedRanges[[#This Row],[Reference Text]],1))=FALSE)</f>
        <v>1</v>
      </c>
      <c r="J25" s="20">
        <f>(LEN(Table_NamedRanges[[#This Row],[Reference Text]])-LEN(SUBSTITUTE(Table_NamedRanges[[#This Row],[Reference Text]],",","")))/LEN(",")</f>
        <v>0</v>
      </c>
      <c r="K25" s="20" t="str">
        <f>IF(Table_NamedRanges[[#This Row],[Starts with '']]=FALSE,"Other",IF(AND(Table_NamedRanges[[#This Row],[Count of Colon ":"]]=0,Table_NamedRanges[[#This Row],[Count of ","]]=0),"Single Cell",IF(Table_NamedRanges[[#This Row],[Count of Colon ":"]]=1,"Single Range", "Multiple (Cell or Range)")))</f>
        <v>Other</v>
      </c>
    </row>
    <row r="26" spans="2:11" x14ac:dyDescent="0.25">
      <c r="B26" s="6" t="s">
        <v>380</v>
      </c>
      <c r="C26" s="8" t="s">
        <v>404</v>
      </c>
      <c r="D26" s="18" t="str">
        <f ca="1">IFERROR(INDIRECT(Table_NamedRanges[[#This Row],[Named Range Paste]]),"Undefined/Error")</f>
        <v>Undefined/Error</v>
      </c>
      <c r="E26" s="18" t="str">
        <f>Table_NamedRanges[[#This Row],[Reference Paste]]</f>
        <v>=Table_Provinces[Abbr]</v>
      </c>
      <c r="F26" s="18" t="b">
        <f ca="1">ISERROR(VLOOKUP(Table_NamedRanges[[#This Row],[Named Range Paste]],OFFSET(INDEX(Table_ErrorList[],1,1),0,MATCH(Table_ErrorList[[#Headers],[Attention To Named Range]],Table_ErrorList[#Headers],0)-1,ROWS(Table_ErrorList[]),1),1,FALSE))=FALSE</f>
        <v>0</v>
      </c>
      <c r="G26" s="20" t="b">
        <f>MID(Table_NamedRanges[[#This Row],[Reference Text]],2,1)="'"</f>
        <v>0</v>
      </c>
      <c r="H26" s="20">
        <f>(LEN(Table_NamedRanges[[#This Row],[Reference Text]])-LEN(SUBSTITUTE(Table_NamedRanges[[#This Row],[Reference Text]],":","")))/LEN(":")</f>
        <v>0</v>
      </c>
      <c r="I26" s="20" t="b">
        <f>OR(ISERROR(FIND("[",Table_NamedRanges[[#This Row],[Reference Text]],1))=FALSE,ISERROR(FIND("]",Table_NamedRanges[[#This Row],[Reference Text]],1))=FALSE)</f>
        <v>1</v>
      </c>
      <c r="J26" s="20">
        <f>(LEN(Table_NamedRanges[[#This Row],[Reference Text]])-LEN(SUBSTITUTE(Table_NamedRanges[[#This Row],[Reference Text]],",","")))/LEN(",")</f>
        <v>0</v>
      </c>
      <c r="K26" s="20" t="str">
        <f>IF(Table_NamedRanges[[#This Row],[Starts with '']]=FALSE,"Other",IF(AND(Table_NamedRanges[[#This Row],[Count of Colon ":"]]=0,Table_NamedRanges[[#This Row],[Count of ","]]=0),"Single Cell",IF(Table_NamedRanges[[#This Row],[Count of Colon ":"]]=1,"Single Range", "Multiple (Cell or Range)")))</f>
        <v>Other</v>
      </c>
    </row>
    <row r="27" spans="2:11" x14ac:dyDescent="0.25">
      <c r="B27" s="6" t="s">
        <v>390</v>
      </c>
      <c r="C27" s="8" t="s">
        <v>477</v>
      </c>
      <c r="D27" s="18" t="str">
        <f ca="1">IFERROR(INDIRECT(Table_NamedRanges[[#This Row],[Named Range Paste]]),"Undefined/Error")</f>
        <v>Undefined/Error</v>
      </c>
      <c r="E27" s="18" t="str">
        <f>Table_NamedRanges[[#This Row],[Reference Paste]]</f>
        <v>=Table_Conference[Purpose]</v>
      </c>
      <c r="F27" s="18" t="b">
        <f ca="1">ISERROR(VLOOKUP(Table_NamedRanges[[#This Row],[Named Range Paste]],OFFSET(INDEX(Table_ErrorList[],1,1),0,MATCH(Table_ErrorList[[#Headers],[Attention To Named Range]],Table_ErrorList[#Headers],0)-1,ROWS(Table_ErrorList[]),1),1,FALSE))=FALSE</f>
        <v>0</v>
      </c>
      <c r="G27" s="20" t="b">
        <f>MID(Table_NamedRanges[[#This Row],[Reference Text]],2,1)="'"</f>
        <v>0</v>
      </c>
      <c r="H27" s="20">
        <f>(LEN(Table_NamedRanges[[#This Row],[Reference Text]])-LEN(SUBSTITUTE(Table_NamedRanges[[#This Row],[Reference Text]],":","")))/LEN(":")</f>
        <v>0</v>
      </c>
      <c r="I27" s="20" t="b">
        <f>OR(ISERROR(FIND("[",Table_NamedRanges[[#This Row],[Reference Text]],1))=FALSE,ISERROR(FIND("]",Table_NamedRanges[[#This Row],[Reference Text]],1))=FALSE)</f>
        <v>1</v>
      </c>
      <c r="J27" s="20">
        <f>(LEN(Table_NamedRanges[[#This Row],[Reference Text]])-LEN(SUBSTITUTE(Table_NamedRanges[[#This Row],[Reference Text]],",","")))/LEN(",")</f>
        <v>0</v>
      </c>
      <c r="K27" s="20" t="str">
        <f>IF(Table_NamedRanges[[#This Row],[Starts with '']]=FALSE,"Other",IF(AND(Table_NamedRanges[[#This Row],[Count of Colon ":"]]=0,Table_NamedRanges[[#This Row],[Count of ","]]=0),"Single Cell",IF(Table_NamedRanges[[#This Row],[Count of Colon ":"]]=1,"Single Range", "Multiple (Cell or Range)")))</f>
        <v>Other</v>
      </c>
    </row>
    <row r="28" spans="2:11" x14ac:dyDescent="0.25">
      <c r="B28" s="6" t="s">
        <v>382</v>
      </c>
      <c r="C28" s="8" t="s">
        <v>405</v>
      </c>
      <c r="D28" s="18" t="str">
        <f ca="1">IFERROR(INDIRECT(Table_NamedRanges[[#This Row],[Named Range Paste]]),"Undefined/Error")</f>
        <v>Undefined/Error</v>
      </c>
      <c r="E28" s="18" t="str">
        <f>Table_NamedRanges[[#This Row],[Reference Paste]]</f>
        <v>=Table_Range[Range]</v>
      </c>
      <c r="F28" s="18" t="b">
        <f ca="1">ISERROR(VLOOKUP(Table_NamedRanges[[#This Row],[Named Range Paste]],OFFSET(INDEX(Table_ErrorList[],1,1),0,MATCH(Table_ErrorList[[#Headers],[Attention To Named Range]],Table_ErrorList[#Headers],0)-1,ROWS(Table_ErrorList[]),1),1,FALSE))=FALSE</f>
        <v>0</v>
      </c>
      <c r="G28" s="20" t="b">
        <f>MID(Table_NamedRanges[[#This Row],[Reference Text]],2,1)="'"</f>
        <v>0</v>
      </c>
      <c r="H28" s="20">
        <f>(LEN(Table_NamedRanges[[#This Row],[Reference Text]])-LEN(SUBSTITUTE(Table_NamedRanges[[#This Row],[Reference Text]],":","")))/LEN(":")</f>
        <v>0</v>
      </c>
      <c r="I28" s="20" t="b">
        <f>OR(ISERROR(FIND("[",Table_NamedRanges[[#This Row],[Reference Text]],1))=FALSE,ISERROR(FIND("]",Table_NamedRanges[[#This Row],[Reference Text]],1))=FALSE)</f>
        <v>1</v>
      </c>
      <c r="J28" s="20">
        <f>(LEN(Table_NamedRanges[[#This Row],[Reference Text]])-LEN(SUBSTITUTE(Table_NamedRanges[[#This Row],[Reference Text]],",","")))/LEN(",")</f>
        <v>0</v>
      </c>
      <c r="K28" s="20" t="str">
        <f>IF(Table_NamedRanges[[#This Row],[Starts with '']]=FALSE,"Other",IF(AND(Table_NamedRanges[[#This Row],[Count of Colon ":"]]=0,Table_NamedRanges[[#This Row],[Count of ","]]=0),"Single Cell",IF(Table_NamedRanges[[#This Row],[Count of Colon ":"]]=1,"Single Range", "Multiple (Cell or Range)")))</f>
        <v>Other</v>
      </c>
    </row>
    <row r="29" spans="2:11" ht="60" x14ac:dyDescent="0.25">
      <c r="B29" s="6" t="s">
        <v>26</v>
      </c>
      <c r="C29" s="8" t="s">
        <v>28</v>
      </c>
      <c r="D29" s="18" t="str">
        <f ca="1">IFERROR(INDIRECT(Table_NamedRanges[[#This Row],[Named Range Paste]]),"Undefined/Error")</f>
        <v>Undefined/Error</v>
      </c>
      <c r="E29" s="18" t="str">
        <f>Table_NamedRanges[[#This Row],[Reference Paste]]</f>
        <v>=OFFSET(INDEX(Table_Dates[Receipt Date Available],1,1),0,0,COUNTA(Table_Dates[Receipt Date Available])-COUNTIF(Table_Dates[Receipt Date Available],"XXXX"),1)</v>
      </c>
      <c r="F29" s="18" t="b">
        <f ca="1">ISERROR(VLOOKUP(Table_NamedRanges[[#This Row],[Named Range Paste]],OFFSET(INDEX(Table_ErrorList[],1,1),0,MATCH(Table_ErrorList[[#Headers],[Attention To Named Range]],Table_ErrorList[#Headers],0)-1,ROWS(Table_ErrorList[]),1),1,FALSE))=FALSE</f>
        <v>0</v>
      </c>
      <c r="G29" s="20" t="b">
        <f>MID(Table_NamedRanges[[#This Row],[Reference Text]],2,1)="'"</f>
        <v>0</v>
      </c>
      <c r="H29" s="20">
        <f>(LEN(Table_NamedRanges[[#This Row],[Reference Text]])-LEN(SUBSTITUTE(Table_NamedRanges[[#This Row],[Reference Text]],":","")))/LEN(":")</f>
        <v>0</v>
      </c>
      <c r="I29" s="20" t="b">
        <f>OR(ISERROR(FIND("[",Table_NamedRanges[[#This Row],[Reference Text]],1))=FALSE,ISERROR(FIND("]",Table_NamedRanges[[#This Row],[Reference Text]],1))=FALSE)</f>
        <v>1</v>
      </c>
      <c r="J29" s="20">
        <f>(LEN(Table_NamedRanges[[#This Row],[Reference Text]])-LEN(SUBSTITUTE(Table_NamedRanges[[#This Row],[Reference Text]],",","")))/LEN(",")</f>
        <v>7</v>
      </c>
      <c r="K29" s="20" t="str">
        <f>IF(Table_NamedRanges[[#This Row],[Starts with '']]=FALSE,"Other",IF(AND(Table_NamedRanges[[#This Row],[Count of Colon ":"]]=0,Table_NamedRanges[[#This Row],[Count of ","]]=0),"Single Cell",IF(Table_NamedRanges[[#This Row],[Count of Colon ":"]]=1,"Single Range", "Multiple (Cell or Range)")))</f>
        <v>Other</v>
      </c>
    </row>
    <row r="30" spans="2:11" x14ac:dyDescent="0.25">
      <c r="B30" s="6" t="s">
        <v>394</v>
      </c>
      <c r="C30" s="8" t="s">
        <v>492</v>
      </c>
      <c r="D30" s="18" t="str">
        <f ca="1">IFERROR(INDIRECT(Table_NamedRanges[[#This Row],[Named Range Paste]]),"Undefined/Error")</f>
        <v>Undefined/Error</v>
      </c>
      <c r="E30" s="18" t="str">
        <f>Table_NamedRanges[[#This Row],[Reference Paste]]</f>
        <v>=Table_Requester[Requester]</v>
      </c>
      <c r="F30" s="18" t="b">
        <f ca="1">ISERROR(VLOOKUP(Table_NamedRanges[[#This Row],[Named Range Paste]],OFFSET(INDEX(Table_ErrorList[],1,1),0,MATCH(Table_ErrorList[[#Headers],[Attention To Named Range]],Table_ErrorList[#Headers],0)-1,ROWS(Table_ErrorList[]),1),1,FALSE))=FALSE</f>
        <v>0</v>
      </c>
      <c r="G30" s="20" t="b">
        <f>MID(Table_NamedRanges[[#This Row],[Reference Text]],2,1)="'"</f>
        <v>0</v>
      </c>
      <c r="H30" s="20">
        <f>(LEN(Table_NamedRanges[[#This Row],[Reference Text]])-LEN(SUBSTITUTE(Table_NamedRanges[[#This Row],[Reference Text]],":","")))/LEN(":")</f>
        <v>0</v>
      </c>
      <c r="I30" s="20" t="b">
        <f>OR(ISERROR(FIND("[",Table_NamedRanges[[#This Row],[Reference Text]],1))=FALSE,ISERROR(FIND("]",Table_NamedRanges[[#This Row],[Reference Text]],1))=FALSE)</f>
        <v>1</v>
      </c>
      <c r="J30" s="20">
        <f>(LEN(Table_NamedRanges[[#This Row],[Reference Text]])-LEN(SUBSTITUTE(Table_NamedRanges[[#This Row],[Reference Text]],",","")))/LEN(",")</f>
        <v>0</v>
      </c>
      <c r="K30" s="20" t="str">
        <f>IF(Table_NamedRanges[[#This Row],[Starts with '']]=FALSE,"Other",IF(AND(Table_NamedRanges[[#This Row],[Count of Colon ":"]]=0,Table_NamedRanges[[#This Row],[Count of ","]]=0),"Single Cell",IF(Table_NamedRanges[[#This Row],[Count of Colon ":"]]=1,"Single Range", "Multiple (Cell or Range)")))</f>
        <v>Other</v>
      </c>
    </row>
    <row r="31" spans="2:11" x14ac:dyDescent="0.25">
      <c r="B31" s="6" t="s">
        <v>1083</v>
      </c>
      <c r="C31" s="8" t="s">
        <v>1084</v>
      </c>
      <c r="D31" s="18" t="str">
        <f ca="1">IFERROR(INDIRECT(Table_NamedRanges[[#This Row],[Named Range Paste]]),"Undefined/Error")</f>
        <v>Undefined/Error</v>
      </c>
      <c r="E31" s="18" t="str">
        <f>Table_NamedRanges[[#This Row],[Reference Paste]]</f>
        <v>=Table_SectionNames[Section '#]</v>
      </c>
      <c r="F31" s="18" t="b">
        <f ca="1">ISERROR(VLOOKUP(Table_NamedRanges[[#This Row],[Named Range Paste]],OFFSET(INDEX(Table_ErrorList[],1,1),0,MATCH(Table_ErrorList[[#Headers],[Attention To Named Range]],Table_ErrorList[#Headers],0)-1,ROWS(Table_ErrorList[]),1),1,FALSE))=FALSE</f>
        <v>0</v>
      </c>
      <c r="G31" s="20" t="b">
        <f>MID(Table_NamedRanges[[#This Row],[Reference Text]],2,1)="'"</f>
        <v>0</v>
      </c>
      <c r="H31" s="20">
        <f>(LEN(Table_NamedRanges[[#This Row],[Reference Text]])-LEN(SUBSTITUTE(Table_NamedRanges[[#This Row],[Reference Text]],":","")))/LEN(":")</f>
        <v>0</v>
      </c>
      <c r="I31" s="20" t="b">
        <f>OR(ISERROR(FIND("[",Table_NamedRanges[[#This Row],[Reference Text]],1))=FALSE,ISERROR(FIND("]",Table_NamedRanges[[#This Row],[Reference Text]],1))=FALSE)</f>
        <v>1</v>
      </c>
      <c r="J31" s="20">
        <f>(LEN(Table_NamedRanges[[#This Row],[Reference Text]])-LEN(SUBSTITUTE(Table_NamedRanges[[#This Row],[Reference Text]],",","")))/LEN(",")</f>
        <v>0</v>
      </c>
      <c r="K31" s="20" t="str">
        <f>IF(Table_NamedRanges[[#This Row],[Starts with '']]=FALSE,"Other",IF(AND(Table_NamedRanges[[#This Row],[Count of Colon ":"]]=0,Table_NamedRanges[[#This Row],[Count of ","]]=0),"Single Cell",IF(Table_NamedRanges[[#This Row],[Count of Colon ":"]]=1,"Single Range", "Multiple (Cell or Range)")))</f>
        <v>Other</v>
      </c>
    </row>
    <row r="32" spans="2:11" x14ac:dyDescent="0.25">
      <c r="B32" s="6" t="s">
        <v>406</v>
      </c>
      <c r="C32" s="8" t="s">
        <v>407</v>
      </c>
      <c r="D32" s="18" t="str">
        <f ca="1">IFERROR(INDIRECT(Table_NamedRanges[[#This Row],[Named Range Paste]]),"Undefined/Error")</f>
        <v>Undefined/Error</v>
      </c>
      <c r="E32" s="18" t="str">
        <f>Table_NamedRanges[[#This Row],[Reference Paste]]</f>
        <v>=Table_SubmittingPortfolio[Submitting Portfolio]</v>
      </c>
      <c r="F32" s="18" t="b">
        <f ca="1">ISERROR(VLOOKUP(Table_NamedRanges[[#This Row],[Named Range Paste]],OFFSET(INDEX(Table_ErrorList[],1,1),0,MATCH(Table_ErrorList[[#Headers],[Attention To Named Range]],Table_ErrorList[#Headers],0)-1,ROWS(Table_ErrorList[]),1),1,FALSE))=FALSE</f>
        <v>0</v>
      </c>
      <c r="G32" s="20" t="b">
        <f>MID(Table_NamedRanges[[#This Row],[Reference Text]],2,1)="'"</f>
        <v>0</v>
      </c>
      <c r="H32" s="20">
        <f>(LEN(Table_NamedRanges[[#This Row],[Reference Text]])-LEN(SUBSTITUTE(Table_NamedRanges[[#This Row],[Reference Text]],":","")))/LEN(":")</f>
        <v>0</v>
      </c>
      <c r="I32" s="20" t="b">
        <f>OR(ISERROR(FIND("[",Table_NamedRanges[[#This Row],[Reference Text]],1))=FALSE,ISERROR(FIND("]",Table_NamedRanges[[#This Row],[Reference Text]],1))=FALSE)</f>
        <v>1</v>
      </c>
      <c r="J32" s="20">
        <f>(LEN(Table_NamedRanges[[#This Row],[Reference Text]])-LEN(SUBSTITUTE(Table_NamedRanges[[#This Row],[Reference Text]],",","")))/LEN(",")</f>
        <v>0</v>
      </c>
      <c r="K32" s="20" t="str">
        <f>IF(Table_NamedRanges[[#This Row],[Starts with '']]=FALSE,"Other",IF(AND(Table_NamedRanges[[#This Row],[Count of Colon ":"]]=0,Table_NamedRanges[[#This Row],[Count of ","]]=0),"Single Cell",IF(Table_NamedRanges[[#This Row],[Count of Colon ":"]]=1,"Single Range", "Multiple (Cell or Range)")))</f>
        <v>Other</v>
      </c>
    </row>
    <row r="33" spans="2:11" ht="30" x14ac:dyDescent="0.25">
      <c r="B33" s="6" t="s">
        <v>27</v>
      </c>
      <c r="C33" s="8" t="s">
        <v>139</v>
      </c>
      <c r="D33" s="18" t="str">
        <f ca="1">IFERROR(INDIRECT(Table_NamedRanges[[#This Row],[Named Range Paste]]),"Undefined/Error")</f>
        <v>Undefined/Error</v>
      </c>
      <c r="E33" s="18" t="str">
        <f>Table_NamedRanges[[#This Row],[Reference Paste]]</f>
        <v>=IF(Field15_TravelStartDate&lt;&gt;"",Table_Dates[Travel End Date Available],Field15_TravelStartDate)</v>
      </c>
      <c r="F33" s="18" t="b">
        <f ca="1">ISERROR(VLOOKUP(Table_NamedRanges[[#This Row],[Named Range Paste]],OFFSET(INDEX(Table_ErrorList[],1,1),0,MATCH(Table_ErrorList[[#Headers],[Attention To Named Range]],Table_ErrorList[#Headers],0)-1,ROWS(Table_ErrorList[]),1),1,FALSE))=FALSE</f>
        <v>0</v>
      </c>
      <c r="G33" s="20" t="b">
        <f>MID(Table_NamedRanges[[#This Row],[Reference Text]],2,1)="'"</f>
        <v>0</v>
      </c>
      <c r="H33" s="20">
        <f>(LEN(Table_NamedRanges[[#This Row],[Reference Text]])-LEN(SUBSTITUTE(Table_NamedRanges[[#This Row],[Reference Text]],":","")))/LEN(":")</f>
        <v>0</v>
      </c>
      <c r="I33" s="20" t="b">
        <f>OR(ISERROR(FIND("[",Table_NamedRanges[[#This Row],[Reference Text]],1))=FALSE,ISERROR(FIND("]",Table_NamedRanges[[#This Row],[Reference Text]],1))=FALSE)</f>
        <v>1</v>
      </c>
      <c r="J33" s="20">
        <f>(LEN(Table_NamedRanges[[#This Row],[Reference Text]])-LEN(SUBSTITUTE(Table_NamedRanges[[#This Row],[Reference Text]],",","")))/LEN(",")</f>
        <v>2</v>
      </c>
      <c r="K33" s="20" t="str">
        <f>IF(Table_NamedRanges[[#This Row],[Starts with '']]=FALSE,"Other",IF(AND(Table_NamedRanges[[#This Row],[Count of Colon ":"]]=0,Table_NamedRanges[[#This Row],[Count of ","]]=0),"Single Cell",IF(Table_NamedRanges[[#This Row],[Count of Colon ":"]]=1,"Single Range", "Multiple (Cell or Range)")))</f>
        <v>Other</v>
      </c>
    </row>
    <row r="34" spans="2:11" x14ac:dyDescent="0.25">
      <c r="B34" s="6" t="s">
        <v>100</v>
      </c>
      <c r="C34" s="8" t="s">
        <v>101</v>
      </c>
      <c r="D34" s="18" t="str">
        <f ca="1">IFERROR(INDIRECT(Table_NamedRanges[[#This Row],[Named Range Paste]]),"Undefined/Error")</f>
        <v>Undefined/Error</v>
      </c>
      <c r="E34" s="18" t="str">
        <f>Table_NamedRanges[[#This Row],[Reference Paste]]</f>
        <v>=Table_TripType[Trip Type]</v>
      </c>
      <c r="F34" s="18" t="b">
        <f ca="1">ISERROR(VLOOKUP(Table_NamedRanges[[#This Row],[Named Range Paste]],OFFSET(INDEX(Table_ErrorList[],1,1),0,MATCH(Table_ErrorList[[#Headers],[Attention To Named Range]],Table_ErrorList[#Headers],0)-1,ROWS(Table_ErrorList[]),1),1,FALSE))=FALSE</f>
        <v>0</v>
      </c>
      <c r="G34" s="20" t="b">
        <f>MID(Table_NamedRanges[[#This Row],[Reference Text]],2,1)="'"</f>
        <v>0</v>
      </c>
      <c r="H34" s="20">
        <f>(LEN(Table_NamedRanges[[#This Row],[Reference Text]])-LEN(SUBSTITUTE(Table_NamedRanges[[#This Row],[Reference Text]],":","")))/LEN(":")</f>
        <v>0</v>
      </c>
      <c r="I34" s="20" t="b">
        <f>OR(ISERROR(FIND("[",Table_NamedRanges[[#This Row],[Reference Text]],1))=FALSE,ISERROR(FIND("]",Table_NamedRanges[[#This Row],[Reference Text]],1))=FALSE)</f>
        <v>1</v>
      </c>
      <c r="J34" s="20">
        <f>(LEN(Table_NamedRanges[[#This Row],[Reference Text]])-LEN(SUBSTITUTE(Table_NamedRanges[[#This Row],[Reference Text]],",","")))/LEN(",")</f>
        <v>0</v>
      </c>
      <c r="K34" s="20" t="str">
        <f>IF(Table_NamedRanges[[#This Row],[Starts with '']]=FALSE,"Other",IF(AND(Table_NamedRanges[[#This Row],[Count of Colon ":"]]=0,Table_NamedRanges[[#This Row],[Count of ","]]=0),"Single Cell",IF(Table_NamedRanges[[#This Row],[Count of Colon ":"]]=1,"Single Range", "Multiple (Cell or Range)")))</f>
        <v>Other</v>
      </c>
    </row>
    <row r="35" spans="2:11" x14ac:dyDescent="0.25">
      <c r="B35" s="6" t="s">
        <v>72</v>
      </c>
      <c r="C35" s="8" t="s">
        <v>102</v>
      </c>
      <c r="D35" s="18" t="str">
        <f ca="1">IFERROR(INDIRECT(Table_NamedRanges[[#This Row],[Named Range Paste]]),"Undefined/Error")</f>
        <v>Undefined/Error</v>
      </c>
      <c r="E35" s="18" t="str">
        <f>Table_NamedRanges[[#This Row],[Reference Paste]]</f>
        <v>=Table_YesNo[YesNo]</v>
      </c>
      <c r="F35" s="18" t="b">
        <f ca="1">ISERROR(VLOOKUP(Table_NamedRanges[[#This Row],[Named Range Paste]],OFFSET(INDEX(Table_ErrorList[],1,1),0,MATCH(Table_ErrorList[[#Headers],[Attention To Named Range]],Table_ErrorList[#Headers],0)-1,ROWS(Table_ErrorList[]),1),1,FALSE))=FALSE</f>
        <v>0</v>
      </c>
      <c r="G35" s="20" t="b">
        <f>MID(Table_NamedRanges[[#This Row],[Reference Text]],2,1)="'"</f>
        <v>0</v>
      </c>
      <c r="H35" s="20">
        <f>(LEN(Table_NamedRanges[[#This Row],[Reference Text]])-LEN(SUBSTITUTE(Table_NamedRanges[[#This Row],[Reference Text]],":","")))/LEN(":")</f>
        <v>0</v>
      </c>
      <c r="I35" s="20" t="b">
        <f>OR(ISERROR(FIND("[",Table_NamedRanges[[#This Row],[Reference Text]],1))=FALSE,ISERROR(FIND("]",Table_NamedRanges[[#This Row],[Reference Text]],1))=FALSE)</f>
        <v>1</v>
      </c>
      <c r="J35" s="20">
        <f>(LEN(Table_NamedRanges[[#This Row],[Reference Text]])-LEN(SUBSTITUTE(Table_NamedRanges[[#This Row],[Reference Text]],",","")))/LEN(",")</f>
        <v>0</v>
      </c>
      <c r="K35" s="20" t="str">
        <f>IF(Table_NamedRanges[[#This Row],[Starts with '']]=FALSE,"Other",IF(AND(Table_NamedRanges[[#This Row],[Count of Colon ":"]]=0,Table_NamedRanges[[#This Row],[Count of ","]]=0),"Single Cell",IF(Table_NamedRanges[[#This Row],[Count of Colon ":"]]=1,"Single Range", "Multiple (Cell or Range)")))</f>
        <v>Other</v>
      </c>
    </row>
    <row r="36" spans="2:11" x14ac:dyDescent="0.25">
      <c r="B36" s="6" t="s">
        <v>227</v>
      </c>
      <c r="C36" s="8" t="s">
        <v>944</v>
      </c>
      <c r="D36" s="18" t="b">
        <f ca="1">IFERROR(INDIRECT(Table_NamedRanges[[#This Row],[Named Range Paste]]),"Undefined/Error")</f>
        <v>0</v>
      </c>
      <c r="E36" s="18" t="str">
        <f>Table_NamedRanges[[#This Row],[Reference Paste]]</f>
        <v>='Error List'!$A$7</v>
      </c>
      <c r="F36" s="18" t="b">
        <f ca="1">ISERROR(VLOOKUP(Table_NamedRanges[[#This Row],[Named Range Paste]],OFFSET(INDEX(Table_ErrorList[],1,1),0,MATCH(Table_ErrorList[[#Headers],[Attention To Named Range]],Table_ErrorList[#Headers],0)-1,ROWS(Table_ErrorList[]),1),1,FALSE))=FALSE</f>
        <v>0</v>
      </c>
      <c r="G36" s="20" t="b">
        <f>MID(Table_NamedRanges[[#This Row],[Reference Text]],2,1)="'"</f>
        <v>1</v>
      </c>
      <c r="H36" s="20">
        <f>(LEN(Table_NamedRanges[[#This Row],[Reference Text]])-LEN(SUBSTITUTE(Table_NamedRanges[[#This Row],[Reference Text]],":","")))/LEN(":")</f>
        <v>0</v>
      </c>
      <c r="I36" s="20" t="b">
        <f>OR(ISERROR(FIND("[",Table_NamedRanges[[#This Row],[Reference Text]],1))=FALSE,ISERROR(FIND("]",Table_NamedRanges[[#This Row],[Reference Text]],1))=FALSE)</f>
        <v>0</v>
      </c>
      <c r="J36" s="20">
        <f>(LEN(Table_NamedRanges[[#This Row],[Reference Text]])-LEN(SUBSTITUTE(Table_NamedRanges[[#This Row],[Reference Text]],",","")))/LEN(",")</f>
        <v>0</v>
      </c>
      <c r="K36" s="20" t="str">
        <f>IF(Table_NamedRanges[[#This Row],[Starts with '']]=FALSE,"Other",IF(AND(Table_NamedRanges[[#This Row],[Count of Colon ":"]]=0,Table_NamedRanges[[#This Row],[Count of ","]]=0),"Single Cell",IF(Table_NamedRanges[[#This Row],[Count of Colon ":"]]=1,"Single Range", "Multiple (Cell or Range)")))</f>
        <v>Single Cell</v>
      </c>
    </row>
    <row r="37" spans="2:11" x14ac:dyDescent="0.25">
      <c r="B37" s="6" t="s">
        <v>251</v>
      </c>
      <c r="C37" s="8" t="s">
        <v>312</v>
      </c>
      <c r="D37" s="18" t="str">
        <f ca="1">IFERROR(INDIRECT(Table_NamedRanges[[#This Row],[Named Range Paste]]),"Undefined/Error")</f>
        <v>$J$21,</v>
      </c>
      <c r="E37" s="18" t="str">
        <f>Table_NamedRanges[[#This Row],[Reference Paste]]</f>
        <v>=Table_ErrorList[Used Reference]</v>
      </c>
      <c r="F37" s="18" t="b">
        <f ca="1">ISERROR(VLOOKUP(Table_NamedRanges[[#This Row],[Named Range Paste]],OFFSET(INDEX(Table_ErrorList[],1,1),0,MATCH(Table_ErrorList[[#Headers],[Attention To Named Range]],Table_ErrorList[#Headers],0)-1,ROWS(Table_ErrorList[]),1),1,FALSE))=FALSE</f>
        <v>0</v>
      </c>
      <c r="G37" s="20" t="b">
        <f>MID(Table_NamedRanges[[#This Row],[Reference Text]],2,1)="'"</f>
        <v>0</v>
      </c>
      <c r="H37" s="20">
        <f>(LEN(Table_NamedRanges[[#This Row],[Reference Text]])-LEN(SUBSTITUTE(Table_NamedRanges[[#This Row],[Reference Text]],":","")))/LEN(":")</f>
        <v>0</v>
      </c>
      <c r="I37" s="20" t="b">
        <f>OR(ISERROR(FIND("[",Table_NamedRanges[[#This Row],[Reference Text]],1))=FALSE,ISERROR(FIND("]",Table_NamedRanges[[#This Row],[Reference Text]],1))=FALSE)</f>
        <v>1</v>
      </c>
      <c r="J37" s="20">
        <f>(LEN(Table_NamedRanges[[#This Row],[Reference Text]])-LEN(SUBSTITUTE(Table_NamedRanges[[#This Row],[Reference Text]],",","")))/LEN(",")</f>
        <v>0</v>
      </c>
      <c r="K37" s="20" t="str">
        <f>IF(Table_NamedRanges[[#This Row],[Starts with '']]=FALSE,"Other",IF(AND(Table_NamedRanges[[#This Row],[Count of Colon ":"]]=0,Table_NamedRanges[[#This Row],[Count of ","]]=0),"Single Cell",IF(Table_NamedRanges[[#This Row],[Count of Colon ":"]]=1,"Single Range", "Multiple (Cell or Range)")))</f>
        <v>Other</v>
      </c>
    </row>
    <row r="38" spans="2:11" x14ac:dyDescent="0.25">
      <c r="B38" s="6" t="s">
        <v>252</v>
      </c>
      <c r="C38" s="8" t="s">
        <v>1262</v>
      </c>
      <c r="D38" s="18" t="b">
        <f ca="1">IFERROR(INDIRECT(Table_NamedRanges[[#This Row],[Named Range Paste]]),"Undefined/Error")</f>
        <v>0</v>
      </c>
      <c r="E38" s="18" t="str">
        <f>Table_NamedRanges[[#This Row],[Reference Paste]]</f>
        <v>=Table_ErrorList[Error Evaluation]</v>
      </c>
      <c r="F38" s="18" t="b">
        <f ca="1">ISERROR(VLOOKUP(Table_NamedRanges[[#This Row],[Named Range Paste]],OFFSET(INDEX(Table_ErrorList[],1,1),0,MATCH(Table_ErrorList[[#Headers],[Attention To Named Range]],Table_ErrorList[#Headers],0)-1,ROWS(Table_ErrorList[]),1),1,FALSE))=FALSE</f>
        <v>0</v>
      </c>
      <c r="G38" s="20" t="b">
        <f>MID(Table_NamedRanges[[#This Row],[Reference Text]],2,1)="'"</f>
        <v>0</v>
      </c>
      <c r="H38" s="20">
        <f>(LEN(Table_NamedRanges[[#This Row],[Reference Text]])-LEN(SUBSTITUTE(Table_NamedRanges[[#This Row],[Reference Text]],":","")))/LEN(":")</f>
        <v>0</v>
      </c>
      <c r="I38" s="20" t="b">
        <f>OR(ISERROR(FIND("[",Table_NamedRanges[[#This Row],[Reference Text]],1))=FALSE,ISERROR(FIND("]",Table_NamedRanges[[#This Row],[Reference Text]],1))=FALSE)</f>
        <v>1</v>
      </c>
      <c r="J38" s="20">
        <f>(LEN(Table_NamedRanges[[#This Row],[Reference Text]])-LEN(SUBSTITUTE(Table_NamedRanges[[#This Row],[Reference Text]],",","")))/LEN(",")</f>
        <v>0</v>
      </c>
      <c r="K38" s="20" t="str">
        <f>IF(Table_NamedRanges[[#This Row],[Starts with '']]=FALSE,"Other",IF(AND(Table_NamedRanges[[#This Row],[Count of Colon ":"]]=0,Table_NamedRanges[[#This Row],[Count of ","]]=0),"Single Cell",IF(Table_NamedRanges[[#This Row],[Count of Colon ":"]]=1,"Single Range", "Multiple (Cell or Range)")))</f>
        <v>Other</v>
      </c>
    </row>
    <row r="39" spans="2:11" x14ac:dyDescent="0.25">
      <c r="B39" s="6" t="s">
        <v>126</v>
      </c>
      <c r="C39" s="8" t="s">
        <v>408</v>
      </c>
      <c r="D39" s="18">
        <f ca="1">IFERROR(INDIRECT(Table_NamedRanges[[#This Row],[Named Range Paste]]),"Undefined/Error")</f>
        <v>0</v>
      </c>
      <c r="E39" s="18" t="str">
        <f>Table_NamedRanges[[#This Row],[Reference Paste]]</f>
        <v>='Travel Expense Summary'!$C$12</v>
      </c>
      <c r="F39" s="18" t="b">
        <f ca="1">ISERROR(VLOOKUP(Table_NamedRanges[[#This Row],[Named Range Paste]],OFFSET(INDEX(Table_ErrorList[],1,1),0,MATCH(Table_ErrorList[[#Headers],[Attention To Named Range]],Table_ErrorList[#Headers],0)-1,ROWS(Table_ErrorList[]),1),1,FALSE))=FALSE</f>
        <v>1</v>
      </c>
      <c r="G39" s="20" t="b">
        <f>MID(Table_NamedRanges[[#This Row],[Reference Text]],2,1)="'"</f>
        <v>1</v>
      </c>
      <c r="H39" s="20">
        <f>(LEN(Table_NamedRanges[[#This Row],[Reference Text]])-LEN(SUBSTITUTE(Table_NamedRanges[[#This Row],[Reference Text]],":","")))/LEN(":")</f>
        <v>0</v>
      </c>
      <c r="I39" s="20" t="b">
        <f>OR(ISERROR(FIND("[",Table_NamedRanges[[#This Row],[Reference Text]],1))=FALSE,ISERROR(FIND("]",Table_NamedRanges[[#This Row],[Reference Text]],1))=FALSE)</f>
        <v>0</v>
      </c>
      <c r="J39" s="20">
        <f>(LEN(Table_NamedRanges[[#This Row],[Reference Text]])-LEN(SUBSTITUTE(Table_NamedRanges[[#This Row],[Reference Text]],",","")))/LEN(",")</f>
        <v>0</v>
      </c>
      <c r="K39" s="20" t="str">
        <f>IF(Table_NamedRanges[[#This Row],[Starts with '']]=FALSE,"Other",IF(AND(Table_NamedRanges[[#This Row],[Count of Colon ":"]]=0,Table_NamedRanges[[#This Row],[Count of ","]]=0),"Single Cell",IF(Table_NamedRanges[[#This Row],[Count of Colon ":"]]=1,"Single Range", "Multiple (Cell or Range)")))</f>
        <v>Single Cell</v>
      </c>
    </row>
    <row r="40" spans="2:11" x14ac:dyDescent="0.25">
      <c r="B40" s="6" t="s">
        <v>127</v>
      </c>
      <c r="C40" s="8" t="s">
        <v>409</v>
      </c>
      <c r="D40" s="18">
        <f ca="1">IFERROR(INDIRECT(Table_NamedRanges[[#This Row],[Named Range Paste]]),"Undefined/Error")</f>
        <v>0</v>
      </c>
      <c r="E40" s="18" t="str">
        <f>Table_NamedRanges[[#This Row],[Reference Paste]]</f>
        <v>='Travel Expense Summary'!$C$13</v>
      </c>
      <c r="F40" s="18" t="b">
        <f ca="1">ISERROR(VLOOKUP(Table_NamedRanges[[#This Row],[Named Range Paste]],OFFSET(INDEX(Table_ErrorList[],1,1),0,MATCH(Table_ErrorList[[#Headers],[Attention To Named Range]],Table_ErrorList[#Headers],0)-1,ROWS(Table_ErrorList[]),1),1,FALSE))=FALSE</f>
        <v>1</v>
      </c>
      <c r="G40" s="20" t="b">
        <f>MID(Table_NamedRanges[[#This Row],[Reference Text]],2,1)="'"</f>
        <v>1</v>
      </c>
      <c r="H40" s="20">
        <f>(LEN(Table_NamedRanges[[#This Row],[Reference Text]])-LEN(SUBSTITUTE(Table_NamedRanges[[#This Row],[Reference Text]],":","")))/LEN(":")</f>
        <v>0</v>
      </c>
      <c r="I40" s="20" t="b">
        <f>OR(ISERROR(FIND("[",Table_NamedRanges[[#This Row],[Reference Text]],1))=FALSE,ISERROR(FIND("]",Table_NamedRanges[[#This Row],[Reference Text]],1))=FALSE)</f>
        <v>0</v>
      </c>
      <c r="J40" s="20">
        <f>(LEN(Table_NamedRanges[[#This Row],[Reference Text]])-LEN(SUBSTITUTE(Table_NamedRanges[[#This Row],[Reference Text]],",","")))/LEN(",")</f>
        <v>0</v>
      </c>
      <c r="K40" s="20" t="str">
        <f>IF(Table_NamedRanges[[#This Row],[Starts with '']]=FALSE,"Other",IF(AND(Table_NamedRanges[[#This Row],[Count of Colon ":"]]=0,Table_NamedRanges[[#This Row],[Count of ","]]=0),"Single Cell",IF(Table_NamedRanges[[#This Row],[Count of Colon ":"]]=1,"Single Range", "Multiple (Cell or Range)")))</f>
        <v>Single Cell</v>
      </c>
    </row>
    <row r="41" spans="2:11" x14ac:dyDescent="0.25">
      <c r="B41" s="6" t="s">
        <v>128</v>
      </c>
      <c r="C41" s="8" t="s">
        <v>410</v>
      </c>
      <c r="D41" s="18">
        <f ca="1">IFERROR(INDIRECT(Table_NamedRanges[[#This Row],[Named Range Paste]]),"Undefined/Error")</f>
        <v>0</v>
      </c>
      <c r="E41" s="18" t="str">
        <f>Table_NamedRanges[[#This Row],[Reference Paste]]</f>
        <v>='Travel Expense Summary'!$C$14</v>
      </c>
      <c r="F41" s="18" t="b">
        <f ca="1">ISERROR(VLOOKUP(Table_NamedRanges[[#This Row],[Named Range Paste]],OFFSET(INDEX(Table_ErrorList[],1,1),0,MATCH(Table_ErrorList[[#Headers],[Attention To Named Range]],Table_ErrorList[#Headers],0)-1,ROWS(Table_ErrorList[]),1),1,FALSE))=FALSE</f>
        <v>1</v>
      </c>
      <c r="G41" s="20" t="b">
        <f>MID(Table_NamedRanges[[#This Row],[Reference Text]],2,1)="'"</f>
        <v>1</v>
      </c>
      <c r="H41" s="20">
        <f>(LEN(Table_NamedRanges[[#This Row],[Reference Text]])-LEN(SUBSTITUTE(Table_NamedRanges[[#This Row],[Reference Text]],":","")))/LEN(":")</f>
        <v>0</v>
      </c>
      <c r="I41" s="20" t="b">
        <f>OR(ISERROR(FIND("[",Table_NamedRanges[[#This Row],[Reference Text]],1))=FALSE,ISERROR(FIND("]",Table_NamedRanges[[#This Row],[Reference Text]],1))=FALSE)</f>
        <v>0</v>
      </c>
      <c r="J41" s="20">
        <f>(LEN(Table_NamedRanges[[#This Row],[Reference Text]])-LEN(SUBSTITUTE(Table_NamedRanges[[#This Row],[Reference Text]],",","")))/LEN(",")</f>
        <v>0</v>
      </c>
      <c r="K41" s="20" t="str">
        <f>IF(Table_NamedRanges[[#This Row],[Starts with '']]=FALSE,"Other",IF(AND(Table_NamedRanges[[#This Row],[Count of Colon ":"]]=0,Table_NamedRanges[[#This Row],[Count of ","]]=0),"Single Cell",IF(Table_NamedRanges[[#This Row],[Count of Colon ":"]]=1,"Single Range", "Multiple (Cell or Range)")))</f>
        <v>Single Cell</v>
      </c>
    </row>
    <row r="42" spans="2:11" x14ac:dyDescent="0.25">
      <c r="B42" s="6" t="s">
        <v>193</v>
      </c>
      <c r="C42" s="8" t="s">
        <v>411</v>
      </c>
      <c r="D42" s="18">
        <f ca="1">IFERROR(INDIRECT(Table_NamedRanges[[#This Row],[Named Range Paste]]),"Undefined/Error")</f>
        <v>0</v>
      </c>
      <c r="E42" s="18" t="str">
        <f>Table_NamedRanges[[#This Row],[Reference Paste]]</f>
        <v>='Travel Expense Summary'!$C$15</v>
      </c>
      <c r="F42" s="18" t="b">
        <f ca="1">ISERROR(VLOOKUP(Table_NamedRanges[[#This Row],[Named Range Paste]],OFFSET(INDEX(Table_ErrorList[],1,1),0,MATCH(Table_ErrorList[[#Headers],[Attention To Named Range]],Table_ErrorList[#Headers],0)-1,ROWS(Table_ErrorList[]),1),1,FALSE))=FALSE</f>
        <v>1</v>
      </c>
      <c r="G42" s="20" t="b">
        <f>MID(Table_NamedRanges[[#This Row],[Reference Text]],2,1)="'"</f>
        <v>1</v>
      </c>
      <c r="H42" s="20">
        <f>(LEN(Table_NamedRanges[[#This Row],[Reference Text]])-LEN(SUBSTITUTE(Table_NamedRanges[[#This Row],[Reference Text]],":","")))/LEN(":")</f>
        <v>0</v>
      </c>
      <c r="I42" s="20" t="b">
        <f>OR(ISERROR(FIND("[",Table_NamedRanges[[#This Row],[Reference Text]],1))=FALSE,ISERROR(FIND("]",Table_NamedRanges[[#This Row],[Reference Text]],1))=FALSE)</f>
        <v>0</v>
      </c>
      <c r="J42" s="20">
        <f>(LEN(Table_NamedRanges[[#This Row],[Reference Text]])-LEN(SUBSTITUTE(Table_NamedRanges[[#This Row],[Reference Text]],",","")))/LEN(",")</f>
        <v>0</v>
      </c>
      <c r="K42" s="20" t="str">
        <f>IF(Table_NamedRanges[[#This Row],[Starts with '']]=FALSE,"Other",IF(AND(Table_NamedRanges[[#This Row],[Count of Colon ":"]]=0,Table_NamedRanges[[#This Row],[Count of ","]]=0),"Single Cell",IF(Table_NamedRanges[[#This Row],[Count of Colon ":"]]=1,"Single Range", "Multiple (Cell or Range)")))</f>
        <v>Single Cell</v>
      </c>
    </row>
    <row r="43" spans="2:11" x14ac:dyDescent="0.25">
      <c r="B43" s="6" t="s">
        <v>401</v>
      </c>
      <c r="C43" s="8" t="s">
        <v>412</v>
      </c>
      <c r="D43" s="18">
        <f ca="1">IFERROR(INDIRECT(Table_NamedRanges[[#This Row],[Named Range Paste]]),"Undefined/Error")</f>
        <v>0</v>
      </c>
      <c r="E43" s="18" t="str">
        <f>Table_NamedRanges[[#This Row],[Reference Paste]]</f>
        <v>='Travel Expense Summary'!$C$16</v>
      </c>
      <c r="F43" s="18" t="b">
        <f ca="1">ISERROR(VLOOKUP(Table_NamedRanges[[#This Row],[Named Range Paste]],OFFSET(INDEX(Table_ErrorList[],1,1),0,MATCH(Table_ErrorList[[#Headers],[Attention To Named Range]],Table_ErrorList[#Headers],0)-1,ROWS(Table_ErrorList[]),1),1,FALSE))=FALSE</f>
        <v>1</v>
      </c>
      <c r="G43" s="20" t="b">
        <f>MID(Table_NamedRanges[[#This Row],[Reference Text]],2,1)="'"</f>
        <v>1</v>
      </c>
      <c r="H43" s="20">
        <f>(LEN(Table_NamedRanges[[#This Row],[Reference Text]])-LEN(SUBSTITUTE(Table_NamedRanges[[#This Row],[Reference Text]],":","")))/LEN(":")</f>
        <v>0</v>
      </c>
      <c r="I43" s="20" t="b">
        <f>OR(ISERROR(FIND("[",Table_NamedRanges[[#This Row],[Reference Text]],1))=FALSE,ISERROR(FIND("]",Table_NamedRanges[[#This Row],[Reference Text]],1))=FALSE)</f>
        <v>0</v>
      </c>
      <c r="J43" s="20">
        <f>(LEN(Table_NamedRanges[[#This Row],[Reference Text]])-LEN(SUBSTITUTE(Table_NamedRanges[[#This Row],[Reference Text]],",","")))/LEN(",")</f>
        <v>0</v>
      </c>
      <c r="K43" s="20" t="str">
        <f>IF(Table_NamedRanges[[#This Row],[Starts with '']]=FALSE,"Other",IF(AND(Table_NamedRanges[[#This Row],[Count of Colon ":"]]=0,Table_NamedRanges[[#This Row],[Count of ","]]=0),"Single Cell",IF(Table_NamedRanges[[#This Row],[Count of Colon ":"]]=1,"Single Range", "Multiple (Cell or Range)")))</f>
        <v>Single Cell</v>
      </c>
    </row>
    <row r="44" spans="2:11" x14ac:dyDescent="0.25">
      <c r="B44" s="6" t="s">
        <v>402</v>
      </c>
      <c r="C44" s="8" t="s">
        <v>413</v>
      </c>
      <c r="D44" s="18" t="str">
        <f ca="1">IFERROR(INDIRECT(Table_NamedRanges[[#This Row],[Named Range Paste]]),"Undefined/Error")</f>
        <v>Select</v>
      </c>
      <c r="E44" s="18" t="str">
        <f>Table_NamedRanges[[#This Row],[Reference Paste]]</f>
        <v>='Travel Expense Summary'!$C$17</v>
      </c>
      <c r="F44" s="18" t="b">
        <f ca="1">ISERROR(VLOOKUP(Table_NamedRanges[[#This Row],[Named Range Paste]],OFFSET(INDEX(Table_ErrorList[],1,1),0,MATCH(Table_ErrorList[[#Headers],[Attention To Named Range]],Table_ErrorList[#Headers],0)-1,ROWS(Table_ErrorList[]),1),1,FALSE))=FALSE</f>
        <v>1</v>
      </c>
      <c r="G44" s="20" t="b">
        <f>MID(Table_NamedRanges[[#This Row],[Reference Text]],2,1)="'"</f>
        <v>1</v>
      </c>
      <c r="H44" s="20">
        <f>(LEN(Table_NamedRanges[[#This Row],[Reference Text]])-LEN(SUBSTITUTE(Table_NamedRanges[[#This Row],[Reference Text]],":","")))/LEN(":")</f>
        <v>0</v>
      </c>
      <c r="I44" s="20" t="b">
        <f>OR(ISERROR(FIND("[",Table_NamedRanges[[#This Row],[Reference Text]],1))=FALSE,ISERROR(FIND("]",Table_NamedRanges[[#This Row],[Reference Text]],1))=FALSE)</f>
        <v>0</v>
      </c>
      <c r="J44" s="20">
        <f>(LEN(Table_NamedRanges[[#This Row],[Reference Text]])-LEN(SUBSTITUTE(Table_NamedRanges[[#This Row],[Reference Text]],",","")))/LEN(",")</f>
        <v>0</v>
      </c>
      <c r="K44" s="20" t="str">
        <f>IF(Table_NamedRanges[[#This Row],[Starts with '']]=FALSE,"Other",IF(AND(Table_NamedRanges[[#This Row],[Count of Colon ":"]]=0,Table_NamedRanges[[#This Row],[Count of ","]]=0),"Single Cell",IF(Table_NamedRanges[[#This Row],[Count of Colon ":"]]=1,"Single Range", "Multiple (Cell or Range)")))</f>
        <v>Single Cell</v>
      </c>
    </row>
    <row r="45" spans="2:11" x14ac:dyDescent="0.25">
      <c r="B45" s="6" t="s">
        <v>403</v>
      </c>
      <c r="C45" s="8" t="s">
        <v>129</v>
      </c>
      <c r="D45" s="18">
        <f ca="1">IFERROR(INDIRECT(Table_NamedRanges[[#This Row],[Named Range Paste]]),"Undefined/Error")</f>
        <v>0</v>
      </c>
      <c r="E45" s="18" t="str">
        <f>Table_NamedRanges[[#This Row],[Reference Paste]]</f>
        <v>='Travel Expense Summary'!$E$17</v>
      </c>
      <c r="F45" s="18" t="b">
        <f ca="1">ISERROR(VLOOKUP(Table_NamedRanges[[#This Row],[Named Range Paste]],OFFSET(INDEX(Table_ErrorList[],1,1),0,MATCH(Table_ErrorList[[#Headers],[Attention To Named Range]],Table_ErrorList[#Headers],0)-1,ROWS(Table_ErrorList[]),1),1,FALSE))=FALSE</f>
        <v>1</v>
      </c>
      <c r="G45" s="20" t="b">
        <f>MID(Table_NamedRanges[[#This Row],[Reference Text]],2,1)="'"</f>
        <v>1</v>
      </c>
      <c r="H45" s="20">
        <f>(LEN(Table_NamedRanges[[#This Row],[Reference Text]])-LEN(SUBSTITUTE(Table_NamedRanges[[#This Row],[Reference Text]],":","")))/LEN(":")</f>
        <v>0</v>
      </c>
      <c r="I45" s="20" t="b">
        <f>OR(ISERROR(FIND("[",Table_NamedRanges[[#This Row],[Reference Text]],1))=FALSE,ISERROR(FIND("]",Table_NamedRanges[[#This Row],[Reference Text]],1))=FALSE)</f>
        <v>0</v>
      </c>
      <c r="J45" s="20">
        <f>(LEN(Table_NamedRanges[[#This Row],[Reference Text]])-LEN(SUBSTITUTE(Table_NamedRanges[[#This Row],[Reference Text]],",","")))/LEN(",")</f>
        <v>0</v>
      </c>
      <c r="K45" s="20" t="str">
        <f>IF(Table_NamedRanges[[#This Row],[Starts with '']]=FALSE,"Other",IF(AND(Table_NamedRanges[[#This Row],[Count of Colon ":"]]=0,Table_NamedRanges[[#This Row],[Count of ","]]=0),"Single Cell",IF(Table_NamedRanges[[#This Row],[Count of Colon ":"]]=1,"Single Range", "Multiple (Cell or Range)")))</f>
        <v>Single Cell</v>
      </c>
    </row>
    <row r="46" spans="2:11" x14ac:dyDescent="0.25">
      <c r="B46" s="6" t="s">
        <v>463</v>
      </c>
      <c r="C46" s="8" t="s">
        <v>414</v>
      </c>
      <c r="D46" s="18" t="str">
        <f ca="1">IFERROR(INDIRECT(Table_NamedRanges[[#This Row],[Named Range Paste]]),"Undefined/Error")</f>
        <v>Select</v>
      </c>
      <c r="E46" s="18" t="str">
        <f>Table_NamedRanges[[#This Row],[Reference Paste]]</f>
        <v>='Travel Expense Summary'!$C$18</v>
      </c>
      <c r="F46" s="18" t="b">
        <f ca="1">ISERROR(VLOOKUP(Table_NamedRanges[[#This Row],[Named Range Paste]],OFFSET(INDEX(Table_ErrorList[],1,1),0,MATCH(Table_ErrorList[[#Headers],[Attention To Named Range]],Table_ErrorList[#Headers],0)-1,ROWS(Table_ErrorList[]),1),1,FALSE))=FALSE</f>
        <v>1</v>
      </c>
      <c r="G46" s="20" t="b">
        <f>MID(Table_NamedRanges[[#This Row],[Reference Text]],2,1)="'"</f>
        <v>1</v>
      </c>
      <c r="H46" s="20">
        <f>(LEN(Table_NamedRanges[[#This Row],[Reference Text]])-LEN(SUBSTITUTE(Table_NamedRanges[[#This Row],[Reference Text]],":","")))/LEN(":")</f>
        <v>0</v>
      </c>
      <c r="I46" s="20" t="b">
        <f>OR(ISERROR(FIND("[",Table_NamedRanges[[#This Row],[Reference Text]],1))=FALSE,ISERROR(FIND("]",Table_NamedRanges[[#This Row],[Reference Text]],1))=FALSE)</f>
        <v>0</v>
      </c>
      <c r="J46" s="20">
        <f>(LEN(Table_NamedRanges[[#This Row],[Reference Text]])-LEN(SUBSTITUTE(Table_NamedRanges[[#This Row],[Reference Text]],",","")))/LEN(",")</f>
        <v>0</v>
      </c>
      <c r="K46" s="20" t="str">
        <f>IF(Table_NamedRanges[[#This Row],[Starts with '']]=FALSE,"Other",IF(AND(Table_NamedRanges[[#This Row],[Count of Colon ":"]]=0,Table_NamedRanges[[#This Row],[Count of ","]]=0),"Single Cell",IF(Table_NamedRanges[[#This Row],[Count of Colon ":"]]=1,"Single Range", "Multiple (Cell or Range)")))</f>
        <v>Single Cell</v>
      </c>
    </row>
    <row r="47" spans="2:11" x14ac:dyDescent="0.25">
      <c r="B47" s="6" t="s">
        <v>464</v>
      </c>
      <c r="C47" s="8" t="s">
        <v>465</v>
      </c>
      <c r="D47" s="18">
        <f ca="1">IFERROR(INDIRECT(Table_NamedRanges[[#This Row],[Named Range Paste]]),"Undefined/Error")</f>
        <v>0</v>
      </c>
      <c r="E47" s="18" t="str">
        <f>Table_NamedRanges[[#This Row],[Reference Paste]]</f>
        <v>='Travel Expense Summary'!$C$19</v>
      </c>
      <c r="F47" s="18" t="b">
        <f ca="1">ISERROR(VLOOKUP(Table_NamedRanges[[#This Row],[Named Range Paste]],OFFSET(INDEX(Table_ErrorList[],1,1),0,MATCH(Table_ErrorList[[#Headers],[Attention To Named Range]],Table_ErrorList[#Headers],0)-1,ROWS(Table_ErrorList[]),1),1,FALSE))=FALSE</f>
        <v>1</v>
      </c>
      <c r="G47" s="20" t="b">
        <f>MID(Table_NamedRanges[[#This Row],[Reference Text]],2,1)="'"</f>
        <v>1</v>
      </c>
      <c r="H47" s="20">
        <f>(LEN(Table_NamedRanges[[#This Row],[Reference Text]])-LEN(SUBSTITUTE(Table_NamedRanges[[#This Row],[Reference Text]],":","")))/LEN(":")</f>
        <v>0</v>
      </c>
      <c r="I47" s="20" t="b">
        <f>OR(ISERROR(FIND("[",Table_NamedRanges[[#This Row],[Reference Text]],1))=FALSE,ISERROR(FIND("]",Table_NamedRanges[[#This Row],[Reference Text]],1))=FALSE)</f>
        <v>0</v>
      </c>
      <c r="J47" s="20">
        <f>(LEN(Table_NamedRanges[[#This Row],[Reference Text]])-LEN(SUBSTITUTE(Table_NamedRanges[[#This Row],[Reference Text]],",","")))/LEN(",")</f>
        <v>0</v>
      </c>
      <c r="K47" s="20" t="str">
        <f>IF(Table_NamedRanges[[#This Row],[Starts with '']]=FALSE,"Other",IF(AND(Table_NamedRanges[[#This Row],[Count of Colon ":"]]=0,Table_NamedRanges[[#This Row],[Count of ","]]=0),"Single Cell",IF(Table_NamedRanges[[#This Row],[Count of Colon ":"]]=1,"Single Range", "Multiple (Cell or Range)")))</f>
        <v>Single Cell</v>
      </c>
    </row>
    <row r="48" spans="2:11" x14ac:dyDescent="0.25">
      <c r="B48" s="6" t="s">
        <v>466</v>
      </c>
      <c r="C48" s="8" t="s">
        <v>467</v>
      </c>
      <c r="D48" s="18">
        <f ca="1">IFERROR(INDIRECT(Table_NamedRanges[[#This Row],[Named Range Paste]]),"Undefined/Error")</f>
        <v>0</v>
      </c>
      <c r="E48" s="18" t="str">
        <f>Table_NamedRanges[[#This Row],[Reference Paste]]</f>
        <v>='Travel Expense Summary'!$C$20</v>
      </c>
      <c r="F48" s="18" t="b">
        <f ca="1">ISERROR(VLOOKUP(Table_NamedRanges[[#This Row],[Named Range Paste]],OFFSET(INDEX(Table_ErrorList[],1,1),0,MATCH(Table_ErrorList[[#Headers],[Attention To Named Range]],Table_ErrorList[#Headers],0)-1,ROWS(Table_ErrorList[]),1),1,FALSE))=FALSE</f>
        <v>1</v>
      </c>
      <c r="G48" s="20" t="b">
        <f>MID(Table_NamedRanges[[#This Row],[Reference Text]],2,1)="'"</f>
        <v>1</v>
      </c>
      <c r="H48" s="20">
        <f>(LEN(Table_NamedRanges[[#This Row],[Reference Text]])-LEN(SUBSTITUTE(Table_NamedRanges[[#This Row],[Reference Text]],":","")))/LEN(":")</f>
        <v>0</v>
      </c>
      <c r="I48" s="20" t="b">
        <f>OR(ISERROR(FIND("[",Table_NamedRanges[[#This Row],[Reference Text]],1))=FALSE,ISERROR(FIND("]",Table_NamedRanges[[#This Row],[Reference Text]],1))=FALSE)</f>
        <v>0</v>
      </c>
      <c r="J48" s="20">
        <f>(LEN(Table_NamedRanges[[#This Row],[Reference Text]])-LEN(SUBSTITUTE(Table_NamedRanges[[#This Row],[Reference Text]],",","")))/LEN(",")</f>
        <v>0</v>
      </c>
      <c r="K48" s="20" t="str">
        <f>IF(Table_NamedRanges[[#This Row],[Starts with '']]=FALSE,"Other",IF(AND(Table_NamedRanges[[#This Row],[Count of Colon ":"]]=0,Table_NamedRanges[[#This Row],[Count of ","]]=0),"Single Cell",IF(Table_NamedRanges[[#This Row],[Count of Colon ":"]]=1,"Single Range", "Multiple (Cell or Range)")))</f>
        <v>Single Cell</v>
      </c>
    </row>
    <row r="49" spans="2:11" x14ac:dyDescent="0.25">
      <c r="B49" s="6" t="s">
        <v>468</v>
      </c>
      <c r="C49" s="8" t="s">
        <v>469</v>
      </c>
      <c r="D49" s="18">
        <f ca="1">IFERROR(INDIRECT(Table_NamedRanges[[#This Row],[Named Range Paste]]),"Undefined/Error")</f>
        <v>0</v>
      </c>
      <c r="E49" s="18" t="str">
        <f>Table_NamedRanges[[#This Row],[Reference Paste]]</f>
        <v>='Travel Expense Summary'!$E$20</v>
      </c>
      <c r="F49" s="18" t="b">
        <f ca="1">ISERROR(VLOOKUP(Table_NamedRanges[[#This Row],[Named Range Paste]],OFFSET(INDEX(Table_ErrorList[],1,1),0,MATCH(Table_ErrorList[[#Headers],[Attention To Named Range]],Table_ErrorList[#Headers],0)-1,ROWS(Table_ErrorList[]),1),1,FALSE))=FALSE</f>
        <v>1</v>
      </c>
      <c r="G49" s="20" t="b">
        <f>MID(Table_NamedRanges[[#This Row],[Reference Text]],2,1)="'"</f>
        <v>1</v>
      </c>
      <c r="H49" s="20">
        <f>(LEN(Table_NamedRanges[[#This Row],[Reference Text]])-LEN(SUBSTITUTE(Table_NamedRanges[[#This Row],[Reference Text]],":","")))/LEN(":")</f>
        <v>0</v>
      </c>
      <c r="I49" s="20" t="b">
        <f>OR(ISERROR(FIND("[",Table_NamedRanges[[#This Row],[Reference Text]],1))=FALSE,ISERROR(FIND("]",Table_NamedRanges[[#This Row],[Reference Text]],1))=FALSE)</f>
        <v>0</v>
      </c>
      <c r="J49" s="20">
        <f>(LEN(Table_NamedRanges[[#This Row],[Reference Text]])-LEN(SUBSTITUTE(Table_NamedRanges[[#This Row],[Reference Text]],",","")))/LEN(",")</f>
        <v>0</v>
      </c>
      <c r="K49" s="20" t="str">
        <f>IF(Table_NamedRanges[[#This Row],[Starts with '']]=FALSE,"Other",IF(AND(Table_NamedRanges[[#This Row],[Count of Colon ":"]]=0,Table_NamedRanges[[#This Row],[Count of ","]]=0),"Single Cell",IF(Table_NamedRanges[[#This Row],[Count of Colon ":"]]=1,"Single Range", "Multiple (Cell or Range)")))</f>
        <v>Single Cell</v>
      </c>
    </row>
    <row r="50" spans="2:11" x14ac:dyDescent="0.25">
      <c r="B50" s="6" t="s">
        <v>470</v>
      </c>
      <c r="C50" s="8" t="s">
        <v>416</v>
      </c>
      <c r="D50" s="18" t="str">
        <f ca="1">IFERROR(INDIRECT(Table_NamedRanges[[#This Row],[Named Range Paste]]),"Undefined/Error")</f>
        <v>Select</v>
      </c>
      <c r="E50" s="18" t="str">
        <f>Table_NamedRanges[[#This Row],[Reference Paste]]</f>
        <v>='Travel Expense Summary'!$C$21</v>
      </c>
      <c r="F50" s="18" t="b">
        <f ca="1">ISERROR(VLOOKUP(Table_NamedRanges[[#This Row],[Named Range Paste]],OFFSET(INDEX(Table_ErrorList[],1,1),0,MATCH(Table_ErrorList[[#Headers],[Attention To Named Range]],Table_ErrorList[#Headers],0)-1,ROWS(Table_ErrorList[]),1),1,FALSE))=FALSE</f>
        <v>1</v>
      </c>
      <c r="G50" s="20" t="b">
        <f>MID(Table_NamedRanges[[#This Row],[Reference Text]],2,1)="'"</f>
        <v>1</v>
      </c>
      <c r="H50" s="20">
        <f>(LEN(Table_NamedRanges[[#This Row],[Reference Text]])-LEN(SUBSTITUTE(Table_NamedRanges[[#This Row],[Reference Text]],":","")))/LEN(":")</f>
        <v>0</v>
      </c>
      <c r="I50" s="20" t="b">
        <f>OR(ISERROR(FIND("[",Table_NamedRanges[[#This Row],[Reference Text]],1))=FALSE,ISERROR(FIND("]",Table_NamedRanges[[#This Row],[Reference Text]],1))=FALSE)</f>
        <v>0</v>
      </c>
      <c r="J50" s="20">
        <f>(LEN(Table_NamedRanges[[#This Row],[Reference Text]])-LEN(SUBSTITUTE(Table_NamedRanges[[#This Row],[Reference Text]],",","")))/LEN(",")</f>
        <v>0</v>
      </c>
      <c r="K50" s="20" t="str">
        <f>IF(Table_NamedRanges[[#This Row],[Starts with '']]=FALSE,"Other",IF(AND(Table_NamedRanges[[#This Row],[Count of Colon ":"]]=0,Table_NamedRanges[[#This Row],[Count of ","]]=0),"Single Cell",IF(Table_NamedRanges[[#This Row],[Count of Colon ":"]]=1,"Single Range", "Multiple (Cell or Range)")))</f>
        <v>Single Cell</v>
      </c>
    </row>
    <row r="51" spans="2:11" x14ac:dyDescent="0.25">
      <c r="B51" s="6" t="s">
        <v>471</v>
      </c>
      <c r="C51" s="8" t="s">
        <v>415</v>
      </c>
      <c r="D51" s="18" t="str">
        <f ca="1">IFERROR(INDIRECT(Table_NamedRanges[[#This Row],[Named Range Paste]]),"Undefined/Error")</f>
        <v>Select</v>
      </c>
      <c r="E51" s="18" t="str">
        <f>Table_NamedRanges[[#This Row],[Reference Paste]]</f>
        <v>='Travel Expense Summary'!$C$22</v>
      </c>
      <c r="F51" s="18" t="b">
        <f ca="1">ISERROR(VLOOKUP(Table_NamedRanges[[#This Row],[Named Range Paste]],OFFSET(INDEX(Table_ErrorList[],1,1),0,MATCH(Table_ErrorList[[#Headers],[Attention To Named Range]],Table_ErrorList[#Headers],0)-1,ROWS(Table_ErrorList[]),1),1,FALSE))=FALSE</f>
        <v>1</v>
      </c>
      <c r="G51" s="20" t="b">
        <f>MID(Table_NamedRanges[[#This Row],[Reference Text]],2,1)="'"</f>
        <v>1</v>
      </c>
      <c r="H51" s="20">
        <f>(LEN(Table_NamedRanges[[#This Row],[Reference Text]])-LEN(SUBSTITUTE(Table_NamedRanges[[#This Row],[Reference Text]],":","")))/LEN(":")</f>
        <v>0</v>
      </c>
      <c r="I51" s="20" t="b">
        <f>OR(ISERROR(FIND("[",Table_NamedRanges[[#This Row],[Reference Text]],1))=FALSE,ISERROR(FIND("]",Table_NamedRanges[[#This Row],[Reference Text]],1))=FALSE)</f>
        <v>0</v>
      </c>
      <c r="J51" s="20">
        <f>(LEN(Table_NamedRanges[[#This Row],[Reference Text]])-LEN(SUBSTITUTE(Table_NamedRanges[[#This Row],[Reference Text]],",","")))/LEN(",")</f>
        <v>0</v>
      </c>
      <c r="K51" s="20" t="str">
        <f>IF(Table_NamedRanges[[#This Row],[Starts with '']]=FALSE,"Other",IF(AND(Table_NamedRanges[[#This Row],[Count of Colon ":"]]=0,Table_NamedRanges[[#This Row],[Count of ","]]=0),"Single Cell",IF(Table_NamedRanges[[#This Row],[Count of Colon ":"]]=1,"Single Range", "Multiple (Cell or Range)")))</f>
        <v>Single Cell</v>
      </c>
    </row>
    <row r="52" spans="2:11" x14ac:dyDescent="0.25">
      <c r="B52" s="6" t="s">
        <v>130</v>
      </c>
      <c r="C52" s="8" t="s">
        <v>417</v>
      </c>
      <c r="D52" s="18" t="str">
        <f ca="1">IFERROR(INDIRECT(Table_NamedRanges[[#This Row],[Named Range Paste]]),"Undefined/Error")</f>
        <v>Select</v>
      </c>
      <c r="E52" s="18" t="str">
        <f>Table_NamedRanges[[#This Row],[Reference Paste]]</f>
        <v>='Travel Expense Summary'!$C$23</v>
      </c>
      <c r="F52" s="18" t="b">
        <f ca="1">ISERROR(VLOOKUP(Table_NamedRanges[[#This Row],[Named Range Paste]],OFFSET(INDEX(Table_ErrorList[],1,1),0,MATCH(Table_ErrorList[[#Headers],[Attention To Named Range]],Table_ErrorList[#Headers],0)-1,ROWS(Table_ErrorList[]),1),1,FALSE))=FALSE</f>
        <v>1</v>
      </c>
      <c r="G52" s="20" t="b">
        <f>MID(Table_NamedRanges[[#This Row],[Reference Text]],2,1)="'"</f>
        <v>1</v>
      </c>
      <c r="H52" s="20">
        <f>(LEN(Table_NamedRanges[[#This Row],[Reference Text]])-LEN(SUBSTITUTE(Table_NamedRanges[[#This Row],[Reference Text]],":","")))/LEN(":")</f>
        <v>0</v>
      </c>
      <c r="I52" s="20" t="b">
        <f>OR(ISERROR(FIND("[",Table_NamedRanges[[#This Row],[Reference Text]],1))=FALSE,ISERROR(FIND("]",Table_NamedRanges[[#This Row],[Reference Text]],1))=FALSE)</f>
        <v>0</v>
      </c>
      <c r="J52" s="20">
        <f>(LEN(Table_NamedRanges[[#This Row],[Reference Text]])-LEN(SUBSTITUTE(Table_NamedRanges[[#This Row],[Reference Text]],",","")))/LEN(",")</f>
        <v>0</v>
      </c>
      <c r="K52" s="20" t="str">
        <f>IF(Table_NamedRanges[[#This Row],[Starts with '']]=FALSE,"Other",IF(AND(Table_NamedRanges[[#This Row],[Count of Colon ":"]]=0,Table_NamedRanges[[#This Row],[Count of ","]]=0),"Single Cell",IF(Table_NamedRanges[[#This Row],[Count of Colon ":"]]=1,"Single Range", "Multiple (Cell or Range)")))</f>
        <v>Single Cell</v>
      </c>
    </row>
    <row r="53" spans="2:11" x14ac:dyDescent="0.25">
      <c r="B53" s="6" t="s">
        <v>140</v>
      </c>
      <c r="C53" s="8" t="s">
        <v>418</v>
      </c>
      <c r="D53" s="18">
        <f ca="1">IFERROR(INDIRECT(Table_NamedRanges[[#This Row],[Named Range Paste]]),"Undefined/Error")</f>
        <v>0</v>
      </c>
      <c r="E53" s="18" t="str">
        <f>Table_NamedRanges[[#This Row],[Reference Paste]]</f>
        <v>='Travel Expense Summary'!$C$27</v>
      </c>
      <c r="F53" s="18" t="b">
        <f ca="1">ISERROR(VLOOKUP(Table_NamedRanges[[#This Row],[Named Range Paste]],OFFSET(INDEX(Table_ErrorList[],1,1),0,MATCH(Table_ErrorList[[#Headers],[Attention To Named Range]],Table_ErrorList[#Headers],0)-1,ROWS(Table_ErrorList[]),1),1,FALSE))=FALSE</f>
        <v>1</v>
      </c>
      <c r="G53" s="20" t="b">
        <f>MID(Table_NamedRanges[[#This Row],[Reference Text]],2,1)="'"</f>
        <v>1</v>
      </c>
      <c r="H53" s="20">
        <f>(LEN(Table_NamedRanges[[#This Row],[Reference Text]])-LEN(SUBSTITUTE(Table_NamedRanges[[#This Row],[Reference Text]],":","")))/LEN(":")</f>
        <v>0</v>
      </c>
      <c r="I53" s="20" t="b">
        <f>OR(ISERROR(FIND("[",Table_NamedRanges[[#This Row],[Reference Text]],1))=FALSE,ISERROR(FIND("]",Table_NamedRanges[[#This Row],[Reference Text]],1))=FALSE)</f>
        <v>0</v>
      </c>
      <c r="J53" s="20">
        <f>(LEN(Table_NamedRanges[[#This Row],[Reference Text]])-LEN(SUBSTITUTE(Table_NamedRanges[[#This Row],[Reference Text]],",","")))/LEN(",")</f>
        <v>0</v>
      </c>
      <c r="K53" s="20" t="str">
        <f>IF(Table_NamedRanges[[#This Row],[Starts with '']]=FALSE,"Other",IF(AND(Table_NamedRanges[[#This Row],[Count of Colon ":"]]=0,Table_NamedRanges[[#This Row],[Count of ","]]=0),"Single Cell",IF(Table_NamedRanges[[#This Row],[Count of Colon ":"]]=1,"Single Range", "Multiple (Cell or Range)")))</f>
        <v>Single Cell</v>
      </c>
    </row>
    <row r="54" spans="2:11" x14ac:dyDescent="0.25">
      <c r="B54" s="6" t="s">
        <v>141</v>
      </c>
      <c r="C54" s="8" t="s">
        <v>419</v>
      </c>
      <c r="D54" s="18">
        <f ca="1">IFERROR(INDIRECT(Table_NamedRanges[[#This Row],[Named Range Paste]]),"Undefined/Error")</f>
        <v>0</v>
      </c>
      <c r="E54" s="18" t="str">
        <f>Table_NamedRanges[[#This Row],[Reference Paste]]</f>
        <v>='Travel Expense Summary'!$C$28</v>
      </c>
      <c r="F54" s="18" t="b">
        <f ca="1">ISERROR(VLOOKUP(Table_NamedRanges[[#This Row],[Named Range Paste]],OFFSET(INDEX(Table_ErrorList[],1,1),0,MATCH(Table_ErrorList[[#Headers],[Attention To Named Range]],Table_ErrorList[#Headers],0)-1,ROWS(Table_ErrorList[]),1),1,FALSE))=FALSE</f>
        <v>1</v>
      </c>
      <c r="G54" s="20" t="b">
        <f>MID(Table_NamedRanges[[#This Row],[Reference Text]],2,1)="'"</f>
        <v>1</v>
      </c>
      <c r="H54" s="20">
        <f>(LEN(Table_NamedRanges[[#This Row],[Reference Text]])-LEN(SUBSTITUTE(Table_NamedRanges[[#This Row],[Reference Text]],":","")))/LEN(":")</f>
        <v>0</v>
      </c>
      <c r="I54" s="20" t="b">
        <f>OR(ISERROR(FIND("[",Table_NamedRanges[[#This Row],[Reference Text]],1))=FALSE,ISERROR(FIND("]",Table_NamedRanges[[#This Row],[Reference Text]],1))=FALSE)</f>
        <v>0</v>
      </c>
      <c r="J54" s="20">
        <f>(LEN(Table_NamedRanges[[#This Row],[Reference Text]])-LEN(SUBSTITUTE(Table_NamedRanges[[#This Row],[Reference Text]],",","")))/LEN(",")</f>
        <v>0</v>
      </c>
      <c r="K54" s="20" t="str">
        <f>IF(Table_NamedRanges[[#This Row],[Starts with '']]=FALSE,"Other",IF(AND(Table_NamedRanges[[#This Row],[Count of Colon ":"]]=0,Table_NamedRanges[[#This Row],[Count of ","]]=0),"Single Cell",IF(Table_NamedRanges[[#This Row],[Count of Colon ":"]]=1,"Single Range", "Multiple (Cell or Range)")))</f>
        <v>Single Cell</v>
      </c>
    </row>
    <row r="55" spans="2:11" x14ac:dyDescent="0.25">
      <c r="B55" s="6" t="s">
        <v>163</v>
      </c>
      <c r="C55" s="8" t="s">
        <v>420</v>
      </c>
      <c r="D55" s="18" t="str">
        <f ca="1">IFERROR(INDIRECT(Table_NamedRanges[[#This Row],[Named Range Paste]]),"Undefined/Error")</f>
        <v>Select</v>
      </c>
      <c r="E55" s="18" t="str">
        <f>Table_NamedRanges[[#This Row],[Reference Paste]]</f>
        <v>='Travel Expense Summary'!$C$29</v>
      </c>
      <c r="F55" s="18" t="b">
        <f ca="1">ISERROR(VLOOKUP(Table_NamedRanges[[#This Row],[Named Range Paste]],OFFSET(INDEX(Table_ErrorList[],1,1),0,MATCH(Table_ErrorList[[#Headers],[Attention To Named Range]],Table_ErrorList[#Headers],0)-1,ROWS(Table_ErrorList[]),1),1,FALSE))=FALSE</f>
        <v>1</v>
      </c>
      <c r="G55" s="20" t="b">
        <f>MID(Table_NamedRanges[[#This Row],[Reference Text]],2,1)="'"</f>
        <v>1</v>
      </c>
      <c r="H55" s="20">
        <f>(LEN(Table_NamedRanges[[#This Row],[Reference Text]])-LEN(SUBSTITUTE(Table_NamedRanges[[#This Row],[Reference Text]],":","")))/LEN(":")</f>
        <v>0</v>
      </c>
      <c r="I55" s="20" t="b">
        <f>OR(ISERROR(FIND("[",Table_NamedRanges[[#This Row],[Reference Text]],1))=FALSE,ISERROR(FIND("]",Table_NamedRanges[[#This Row],[Reference Text]],1))=FALSE)</f>
        <v>0</v>
      </c>
      <c r="J55" s="20">
        <f>(LEN(Table_NamedRanges[[#This Row],[Reference Text]])-LEN(SUBSTITUTE(Table_NamedRanges[[#This Row],[Reference Text]],",","")))/LEN(",")</f>
        <v>0</v>
      </c>
      <c r="K55" s="20" t="str">
        <f>IF(Table_NamedRanges[[#This Row],[Starts with '']]=FALSE,"Other",IF(AND(Table_NamedRanges[[#This Row],[Count of Colon ":"]]=0,Table_NamedRanges[[#This Row],[Count of ","]]=0),"Single Cell",IF(Table_NamedRanges[[#This Row],[Count of Colon ":"]]=1,"Single Range", "Multiple (Cell or Range)")))</f>
        <v>Single Cell</v>
      </c>
    </row>
    <row r="56" spans="2:11" x14ac:dyDescent="0.25">
      <c r="B56" s="6" t="s">
        <v>142</v>
      </c>
      <c r="C56" s="8" t="s">
        <v>421</v>
      </c>
      <c r="D56" s="18" t="str">
        <f ca="1">IFERROR(INDIRECT(Table_NamedRanges[[#This Row],[Named Range Paste]]),"Undefined/Error")</f>
        <v>Select</v>
      </c>
      <c r="E56" s="18" t="str">
        <f>Table_NamedRanges[[#This Row],[Reference Paste]]</f>
        <v>='Travel Expense Summary'!$C$30</v>
      </c>
      <c r="F56" s="18" t="b">
        <f ca="1">ISERROR(VLOOKUP(Table_NamedRanges[[#This Row],[Named Range Paste]],OFFSET(INDEX(Table_ErrorList[],1,1),0,MATCH(Table_ErrorList[[#Headers],[Attention To Named Range]],Table_ErrorList[#Headers],0)-1,ROWS(Table_ErrorList[]),1),1,FALSE))=FALSE</f>
        <v>1</v>
      </c>
      <c r="G56" s="20" t="b">
        <f>MID(Table_NamedRanges[[#This Row],[Reference Text]],2,1)="'"</f>
        <v>1</v>
      </c>
      <c r="H56" s="20">
        <f>(LEN(Table_NamedRanges[[#This Row],[Reference Text]])-LEN(SUBSTITUTE(Table_NamedRanges[[#This Row],[Reference Text]],":","")))/LEN(":")</f>
        <v>0</v>
      </c>
      <c r="I56" s="20" t="b">
        <f>OR(ISERROR(FIND("[",Table_NamedRanges[[#This Row],[Reference Text]],1))=FALSE,ISERROR(FIND("]",Table_NamedRanges[[#This Row],[Reference Text]],1))=FALSE)</f>
        <v>0</v>
      </c>
      <c r="J56" s="20">
        <f>(LEN(Table_NamedRanges[[#This Row],[Reference Text]])-LEN(SUBSTITUTE(Table_NamedRanges[[#This Row],[Reference Text]],",","")))/LEN(",")</f>
        <v>0</v>
      </c>
      <c r="K56" s="20" t="str">
        <f>IF(Table_NamedRanges[[#This Row],[Starts with '']]=FALSE,"Other",IF(AND(Table_NamedRanges[[#This Row],[Count of Colon ":"]]=0,Table_NamedRanges[[#This Row],[Count of ","]]=0),"Single Cell",IF(Table_NamedRanges[[#This Row],[Count of Colon ":"]]=1,"Single Range", "Multiple (Cell or Range)")))</f>
        <v>Single Cell</v>
      </c>
    </row>
    <row r="57" spans="2:11" x14ac:dyDescent="0.25">
      <c r="B57" s="6" t="s">
        <v>143</v>
      </c>
      <c r="C57" s="8" t="s">
        <v>422</v>
      </c>
      <c r="D57" s="18">
        <f ca="1">IFERROR(INDIRECT(Table_NamedRanges[[#This Row],[Named Range Paste]]),"Undefined/Error")</f>
        <v>0</v>
      </c>
      <c r="E57" s="18" t="str">
        <f>Table_NamedRanges[[#This Row],[Reference Paste]]</f>
        <v>='Travel Expense Summary'!$C$31</v>
      </c>
      <c r="F57" s="18" t="b">
        <f ca="1">ISERROR(VLOOKUP(Table_NamedRanges[[#This Row],[Named Range Paste]],OFFSET(INDEX(Table_ErrorList[],1,1),0,MATCH(Table_ErrorList[[#Headers],[Attention To Named Range]],Table_ErrorList[#Headers],0)-1,ROWS(Table_ErrorList[]),1),1,FALSE))=FALSE</f>
        <v>1</v>
      </c>
      <c r="G57" s="20" t="b">
        <f>MID(Table_NamedRanges[[#This Row],[Reference Text]],2,1)="'"</f>
        <v>1</v>
      </c>
      <c r="H57" s="20">
        <f>(LEN(Table_NamedRanges[[#This Row],[Reference Text]])-LEN(SUBSTITUTE(Table_NamedRanges[[#This Row],[Reference Text]],":","")))/LEN(":")</f>
        <v>0</v>
      </c>
      <c r="I57" s="20" t="b">
        <f>OR(ISERROR(FIND("[",Table_NamedRanges[[#This Row],[Reference Text]],1))=FALSE,ISERROR(FIND("]",Table_NamedRanges[[#This Row],[Reference Text]],1))=FALSE)</f>
        <v>0</v>
      </c>
      <c r="J57" s="20">
        <f>(LEN(Table_NamedRanges[[#This Row],[Reference Text]])-LEN(SUBSTITUTE(Table_NamedRanges[[#This Row],[Reference Text]],",","")))/LEN(",")</f>
        <v>0</v>
      </c>
      <c r="K57" s="20" t="str">
        <f>IF(Table_NamedRanges[[#This Row],[Starts with '']]=FALSE,"Other",IF(AND(Table_NamedRanges[[#This Row],[Count of Colon ":"]]=0,Table_NamedRanges[[#This Row],[Count of ","]]=0),"Single Cell",IF(Table_NamedRanges[[#This Row],[Count of Colon ":"]]=1,"Single Range", "Multiple (Cell or Range)")))</f>
        <v>Single Cell</v>
      </c>
    </row>
    <row r="58" spans="2:11" x14ac:dyDescent="0.25">
      <c r="B58" s="6" t="s">
        <v>144</v>
      </c>
      <c r="C58" s="8" t="s">
        <v>423</v>
      </c>
      <c r="D58" s="18">
        <f ca="1">IFERROR(INDIRECT(Table_NamedRanges[[#This Row],[Named Range Paste]]),"Undefined/Error")</f>
        <v>0</v>
      </c>
      <c r="E58" s="18" t="str">
        <f>Table_NamedRanges[[#This Row],[Reference Paste]]</f>
        <v>='Travel Expense Summary'!$C$32</v>
      </c>
      <c r="F58" s="18" t="b">
        <f ca="1">ISERROR(VLOOKUP(Table_NamedRanges[[#This Row],[Named Range Paste]],OFFSET(INDEX(Table_ErrorList[],1,1),0,MATCH(Table_ErrorList[[#Headers],[Attention To Named Range]],Table_ErrorList[#Headers],0)-1,ROWS(Table_ErrorList[]),1),1,FALSE))=FALSE</f>
        <v>1</v>
      </c>
      <c r="G58" s="20" t="b">
        <f>MID(Table_NamedRanges[[#This Row],[Reference Text]],2,1)="'"</f>
        <v>1</v>
      </c>
      <c r="H58" s="20">
        <f>(LEN(Table_NamedRanges[[#This Row],[Reference Text]])-LEN(SUBSTITUTE(Table_NamedRanges[[#This Row],[Reference Text]],":","")))/LEN(":")</f>
        <v>0</v>
      </c>
      <c r="I58" s="20" t="b">
        <f>OR(ISERROR(FIND("[",Table_NamedRanges[[#This Row],[Reference Text]],1))=FALSE,ISERROR(FIND("]",Table_NamedRanges[[#This Row],[Reference Text]],1))=FALSE)</f>
        <v>0</v>
      </c>
      <c r="J58" s="20">
        <f>(LEN(Table_NamedRanges[[#This Row],[Reference Text]])-LEN(SUBSTITUTE(Table_NamedRanges[[#This Row],[Reference Text]],",","")))/LEN(",")</f>
        <v>0</v>
      </c>
      <c r="K58" s="20" t="str">
        <f>IF(Table_NamedRanges[[#This Row],[Starts with '']]=FALSE,"Other",IF(AND(Table_NamedRanges[[#This Row],[Count of Colon ":"]]=0,Table_NamedRanges[[#This Row],[Count of ","]]=0),"Single Cell",IF(Table_NamedRanges[[#This Row],[Count of Colon ":"]]=1,"Single Range", "Multiple (Cell or Range)")))</f>
        <v>Single Cell</v>
      </c>
    </row>
    <row r="59" spans="2:11" x14ac:dyDescent="0.25">
      <c r="B59" s="6" t="s">
        <v>147</v>
      </c>
      <c r="C59" s="8" t="s">
        <v>424</v>
      </c>
      <c r="D59" s="18" t="str">
        <f ca="1">IFERROR(INDIRECT(Table_NamedRanges[[#This Row],[Named Range Paste]]),"Undefined/Error")</f>
        <v>Select</v>
      </c>
      <c r="E59" s="18" t="str">
        <f>Table_NamedRanges[[#This Row],[Reference Paste]]</f>
        <v>='Travel Expense Summary'!$C$35</v>
      </c>
      <c r="F59" s="18" t="b">
        <f ca="1">ISERROR(VLOOKUP(Table_NamedRanges[[#This Row],[Named Range Paste]],OFFSET(INDEX(Table_ErrorList[],1,1),0,MATCH(Table_ErrorList[[#Headers],[Attention To Named Range]],Table_ErrorList[#Headers],0)-1,ROWS(Table_ErrorList[]),1),1,FALSE))=FALSE</f>
        <v>1</v>
      </c>
      <c r="G59" s="20" t="b">
        <f>MID(Table_NamedRanges[[#This Row],[Reference Text]],2,1)="'"</f>
        <v>1</v>
      </c>
      <c r="H59" s="20">
        <f>(LEN(Table_NamedRanges[[#This Row],[Reference Text]])-LEN(SUBSTITUTE(Table_NamedRanges[[#This Row],[Reference Text]],":","")))/LEN(":")</f>
        <v>0</v>
      </c>
      <c r="I59" s="20" t="b">
        <f>OR(ISERROR(FIND("[",Table_NamedRanges[[#This Row],[Reference Text]],1))=FALSE,ISERROR(FIND("]",Table_NamedRanges[[#This Row],[Reference Text]],1))=FALSE)</f>
        <v>0</v>
      </c>
      <c r="J59" s="20">
        <f>(LEN(Table_NamedRanges[[#This Row],[Reference Text]])-LEN(SUBSTITUTE(Table_NamedRanges[[#This Row],[Reference Text]],",","")))/LEN(",")</f>
        <v>0</v>
      </c>
      <c r="K59" s="20" t="str">
        <f>IF(Table_NamedRanges[[#This Row],[Starts with '']]=FALSE,"Other",IF(AND(Table_NamedRanges[[#This Row],[Count of Colon ":"]]=0,Table_NamedRanges[[#This Row],[Count of ","]]=0),"Single Cell",IF(Table_NamedRanges[[#This Row],[Count of Colon ":"]]=1,"Single Range", "Multiple (Cell or Range)")))</f>
        <v>Single Cell</v>
      </c>
    </row>
    <row r="60" spans="2:11" x14ac:dyDescent="0.25">
      <c r="B60" s="6" t="s">
        <v>148</v>
      </c>
      <c r="C60" s="8" t="s">
        <v>425</v>
      </c>
      <c r="D60" s="18">
        <f ca="1">IFERROR(INDIRECT(Table_NamedRanges[[#This Row],[Named Range Paste]]),"Undefined/Error")</f>
        <v>0</v>
      </c>
      <c r="E60" s="18" t="str">
        <f>Table_NamedRanges[[#This Row],[Reference Paste]]</f>
        <v>='Travel Expense Summary'!$C$36</v>
      </c>
      <c r="F60" s="18" t="b">
        <f ca="1">ISERROR(VLOOKUP(Table_NamedRanges[[#This Row],[Named Range Paste]],OFFSET(INDEX(Table_ErrorList[],1,1),0,MATCH(Table_ErrorList[[#Headers],[Attention To Named Range]],Table_ErrorList[#Headers],0)-1,ROWS(Table_ErrorList[]),1),1,FALSE))=FALSE</f>
        <v>1</v>
      </c>
      <c r="G60" s="20" t="b">
        <f>MID(Table_NamedRanges[[#This Row],[Reference Text]],2,1)="'"</f>
        <v>1</v>
      </c>
      <c r="H60" s="20">
        <f>(LEN(Table_NamedRanges[[#This Row],[Reference Text]])-LEN(SUBSTITUTE(Table_NamedRanges[[#This Row],[Reference Text]],":","")))/LEN(":")</f>
        <v>0</v>
      </c>
      <c r="I60" s="20" t="b">
        <f>OR(ISERROR(FIND("[",Table_NamedRanges[[#This Row],[Reference Text]],1))=FALSE,ISERROR(FIND("]",Table_NamedRanges[[#This Row],[Reference Text]],1))=FALSE)</f>
        <v>0</v>
      </c>
      <c r="J60" s="20">
        <f>(LEN(Table_NamedRanges[[#This Row],[Reference Text]])-LEN(SUBSTITUTE(Table_NamedRanges[[#This Row],[Reference Text]],",","")))/LEN(",")</f>
        <v>0</v>
      </c>
      <c r="K60" s="20" t="str">
        <f>IF(Table_NamedRanges[[#This Row],[Starts with '']]=FALSE,"Other",IF(AND(Table_NamedRanges[[#This Row],[Count of Colon ":"]]=0,Table_NamedRanges[[#This Row],[Count of ","]]=0),"Single Cell",IF(Table_NamedRanges[[#This Row],[Count of Colon ":"]]=1,"Single Range", "Multiple (Cell or Range)")))</f>
        <v>Single Cell</v>
      </c>
    </row>
    <row r="61" spans="2:11" x14ac:dyDescent="0.25">
      <c r="B61" s="6" t="s">
        <v>478</v>
      </c>
      <c r="C61" s="8" t="s">
        <v>479</v>
      </c>
      <c r="D61" s="18" t="str">
        <f ca="1">IFERROR(INDIRECT(Table_NamedRanges[[#This Row],[Named Range Paste]]),"Undefined/Error")</f>
        <v>Select</v>
      </c>
      <c r="E61" s="18" t="str">
        <f>Table_NamedRanges[[#This Row],[Reference Paste]]</f>
        <v>='Travel Expense Summary'!$C$37</v>
      </c>
      <c r="F61" s="18" t="b">
        <f ca="1">ISERROR(VLOOKUP(Table_NamedRanges[[#This Row],[Named Range Paste]],OFFSET(INDEX(Table_ErrorList[],1,1),0,MATCH(Table_ErrorList[[#Headers],[Attention To Named Range]],Table_ErrorList[#Headers],0)-1,ROWS(Table_ErrorList[]),1),1,FALSE))=FALSE</f>
        <v>1</v>
      </c>
      <c r="G61" s="20" t="b">
        <f>MID(Table_NamedRanges[[#This Row],[Reference Text]],2,1)="'"</f>
        <v>1</v>
      </c>
      <c r="H61" s="20">
        <f>(LEN(Table_NamedRanges[[#This Row],[Reference Text]])-LEN(SUBSTITUTE(Table_NamedRanges[[#This Row],[Reference Text]],":","")))/LEN(":")</f>
        <v>0</v>
      </c>
      <c r="I61" s="20" t="b">
        <f>OR(ISERROR(FIND("[",Table_NamedRanges[[#This Row],[Reference Text]],1))=FALSE,ISERROR(FIND("]",Table_NamedRanges[[#This Row],[Reference Text]],1))=FALSE)</f>
        <v>0</v>
      </c>
      <c r="J61" s="20">
        <f>(LEN(Table_NamedRanges[[#This Row],[Reference Text]])-LEN(SUBSTITUTE(Table_NamedRanges[[#This Row],[Reference Text]],",","")))/LEN(",")</f>
        <v>0</v>
      </c>
      <c r="K61" s="20" t="str">
        <f>IF(Table_NamedRanges[[#This Row],[Starts with '']]=FALSE,"Other",IF(AND(Table_NamedRanges[[#This Row],[Count of Colon ":"]]=0,Table_NamedRanges[[#This Row],[Count of ","]]=0),"Single Cell",IF(Table_NamedRanges[[#This Row],[Count of Colon ":"]]=1,"Single Range", "Multiple (Cell or Range)")))</f>
        <v>Single Cell</v>
      </c>
    </row>
    <row r="62" spans="2:11" x14ac:dyDescent="0.25">
      <c r="B62" s="6" t="s">
        <v>510</v>
      </c>
      <c r="C62" s="8" t="s">
        <v>480</v>
      </c>
      <c r="D62" s="18" t="str">
        <f ca="1">IFERROR(INDIRECT(Table_NamedRanges[[#This Row],[Named Range Paste]]),"Undefined/Error")</f>
        <v>Select</v>
      </c>
      <c r="E62" s="18" t="str">
        <f>Table_NamedRanges[[#This Row],[Reference Paste]]</f>
        <v>='Travel Expense Summary'!$C$38</v>
      </c>
      <c r="F62" s="18" t="b">
        <f ca="1">ISERROR(VLOOKUP(Table_NamedRanges[[#This Row],[Named Range Paste]],OFFSET(INDEX(Table_ErrorList[],1,1),0,MATCH(Table_ErrorList[[#Headers],[Attention To Named Range]],Table_ErrorList[#Headers],0)-1,ROWS(Table_ErrorList[]),1),1,FALSE))=FALSE</f>
        <v>1</v>
      </c>
      <c r="G62" s="20" t="b">
        <f>MID(Table_NamedRanges[[#This Row],[Reference Text]],2,1)="'"</f>
        <v>1</v>
      </c>
      <c r="H62" s="20">
        <f>(LEN(Table_NamedRanges[[#This Row],[Reference Text]])-LEN(SUBSTITUTE(Table_NamedRanges[[#This Row],[Reference Text]],":","")))/LEN(":")</f>
        <v>0</v>
      </c>
      <c r="I62" s="20" t="b">
        <f>OR(ISERROR(FIND("[",Table_NamedRanges[[#This Row],[Reference Text]],1))=FALSE,ISERROR(FIND("]",Table_NamedRanges[[#This Row],[Reference Text]],1))=FALSE)</f>
        <v>0</v>
      </c>
      <c r="J62" s="20">
        <f>(LEN(Table_NamedRanges[[#This Row],[Reference Text]])-LEN(SUBSTITUTE(Table_NamedRanges[[#This Row],[Reference Text]],",","")))/LEN(",")</f>
        <v>0</v>
      </c>
      <c r="K62" s="20" t="str">
        <f>IF(Table_NamedRanges[[#This Row],[Starts with '']]=FALSE,"Other",IF(AND(Table_NamedRanges[[#This Row],[Count of Colon ":"]]=0,Table_NamedRanges[[#This Row],[Count of ","]]=0),"Single Cell",IF(Table_NamedRanges[[#This Row],[Count of Colon ":"]]=1,"Single Range", "Multiple (Cell or Range)")))</f>
        <v>Single Cell</v>
      </c>
    </row>
    <row r="63" spans="2:11" x14ac:dyDescent="0.25">
      <c r="B63" s="6" t="s">
        <v>481</v>
      </c>
      <c r="C63" s="8" t="s">
        <v>511</v>
      </c>
      <c r="D63" s="18">
        <f ca="1">IFERROR(INDIRECT(Table_NamedRanges[[#This Row],[Named Range Paste]]),"Undefined/Error")</f>
        <v>0</v>
      </c>
      <c r="E63" s="18" t="str">
        <f>Table_NamedRanges[[#This Row],[Reference Paste]]</f>
        <v>='Travel Expense Summary'!$H$13</v>
      </c>
      <c r="F63" s="18" t="b">
        <f ca="1">ISERROR(VLOOKUP(Table_NamedRanges[[#This Row],[Named Range Paste]],OFFSET(INDEX(Table_ErrorList[],1,1),0,MATCH(Table_ErrorList[[#Headers],[Attention To Named Range]],Table_ErrorList[#Headers],0)-1,ROWS(Table_ErrorList[]),1),1,FALSE))=FALSE</f>
        <v>1</v>
      </c>
      <c r="G63" s="20" t="b">
        <f>MID(Table_NamedRanges[[#This Row],[Reference Text]],2,1)="'"</f>
        <v>1</v>
      </c>
      <c r="H63" s="20">
        <f>(LEN(Table_NamedRanges[[#This Row],[Reference Text]])-LEN(SUBSTITUTE(Table_NamedRanges[[#This Row],[Reference Text]],":","")))/LEN(":")</f>
        <v>0</v>
      </c>
      <c r="I63" s="20" t="b">
        <f>OR(ISERROR(FIND("[",Table_NamedRanges[[#This Row],[Reference Text]],1))=FALSE,ISERROR(FIND("]",Table_NamedRanges[[#This Row],[Reference Text]],1))=FALSE)</f>
        <v>0</v>
      </c>
      <c r="J63" s="20">
        <f>(LEN(Table_NamedRanges[[#This Row],[Reference Text]])-LEN(SUBSTITUTE(Table_NamedRanges[[#This Row],[Reference Text]],",","")))/LEN(",")</f>
        <v>0</v>
      </c>
      <c r="K63" s="20" t="str">
        <f>IF(Table_NamedRanges[[#This Row],[Starts with '']]=FALSE,"Other",IF(AND(Table_NamedRanges[[#This Row],[Count of Colon ":"]]=0,Table_NamedRanges[[#This Row],[Count of ","]]=0),"Single Cell",IF(Table_NamedRanges[[#This Row],[Count of Colon ":"]]=1,"Single Range", "Multiple (Cell or Range)")))</f>
        <v>Single Cell</v>
      </c>
    </row>
    <row r="64" spans="2:11" x14ac:dyDescent="0.25">
      <c r="B64" s="6" t="s">
        <v>228</v>
      </c>
      <c r="C64" s="8" t="s">
        <v>906</v>
      </c>
      <c r="D64" s="18">
        <f ca="1">IFERROR(INDIRECT(Table_NamedRanges[[#This Row],[Named Range Paste]]),"Undefined/Error")</f>
        <v>0</v>
      </c>
      <c r="E64" s="18" t="str">
        <f>Table_NamedRanges[[#This Row],[Reference Paste]]</f>
        <v>='Travel Expense Summary'!$H$16</v>
      </c>
      <c r="F64" s="18" t="b">
        <f ca="1">ISERROR(VLOOKUP(Table_NamedRanges[[#This Row],[Named Range Paste]],OFFSET(INDEX(Table_ErrorList[],1,1),0,MATCH(Table_ErrorList[[#Headers],[Attention To Named Range]],Table_ErrorList[#Headers],0)-1,ROWS(Table_ErrorList[]),1),1,FALSE))=FALSE</f>
        <v>0</v>
      </c>
      <c r="G64" s="20" t="b">
        <f>MID(Table_NamedRanges[[#This Row],[Reference Text]],2,1)="'"</f>
        <v>1</v>
      </c>
      <c r="H64" s="20">
        <f>(LEN(Table_NamedRanges[[#This Row],[Reference Text]])-LEN(SUBSTITUTE(Table_NamedRanges[[#This Row],[Reference Text]],":","")))/LEN(":")</f>
        <v>0</v>
      </c>
      <c r="I64" s="20" t="b">
        <f>OR(ISERROR(FIND("[",Table_NamedRanges[[#This Row],[Reference Text]],1))=FALSE,ISERROR(FIND("]",Table_NamedRanges[[#This Row],[Reference Text]],1))=FALSE)</f>
        <v>0</v>
      </c>
      <c r="J64" s="20">
        <f>(LEN(Table_NamedRanges[[#This Row],[Reference Text]])-LEN(SUBSTITUTE(Table_NamedRanges[[#This Row],[Reference Text]],",","")))/LEN(",")</f>
        <v>0</v>
      </c>
      <c r="K64" s="20" t="str">
        <f>IF(Table_NamedRanges[[#This Row],[Starts with '']]=FALSE,"Other",IF(AND(Table_NamedRanges[[#This Row],[Count of Colon ":"]]=0,Table_NamedRanges[[#This Row],[Count of ","]]=0),"Single Cell",IF(Table_NamedRanges[[#This Row],[Count of Colon ":"]]=1,"Single Range", "Multiple (Cell or Range)")))</f>
        <v>Single Cell</v>
      </c>
    </row>
    <row r="65" spans="2:11" x14ac:dyDescent="0.25">
      <c r="B65" s="6" t="s">
        <v>506</v>
      </c>
      <c r="C65" s="8" t="s">
        <v>512</v>
      </c>
      <c r="D65" s="18">
        <f ca="1">IFERROR(INDIRECT(Table_NamedRanges[[#This Row],[Named Range Paste]]),"Undefined/Error")</f>
        <v>0</v>
      </c>
      <c r="E65" s="18" t="str">
        <f>Table_NamedRanges[[#This Row],[Reference Paste]]</f>
        <v>='Travel Expense Summary'!$J$21</v>
      </c>
      <c r="F65" s="18" t="b">
        <f ca="1">ISERROR(VLOOKUP(Table_NamedRanges[[#This Row],[Named Range Paste]],OFFSET(INDEX(Table_ErrorList[],1,1),0,MATCH(Table_ErrorList[[#Headers],[Attention To Named Range]],Table_ErrorList[#Headers],0)-1,ROWS(Table_ErrorList[]),1),1,FALSE))=FALSE</f>
        <v>1</v>
      </c>
      <c r="G65" s="20" t="b">
        <f>MID(Table_NamedRanges[[#This Row],[Reference Text]],2,1)="'"</f>
        <v>1</v>
      </c>
      <c r="H65" s="20">
        <f>(LEN(Table_NamedRanges[[#This Row],[Reference Text]])-LEN(SUBSTITUTE(Table_NamedRanges[[#This Row],[Reference Text]],":","")))/LEN(":")</f>
        <v>0</v>
      </c>
      <c r="I65" s="20" t="b">
        <f>OR(ISERROR(FIND("[",Table_NamedRanges[[#This Row],[Reference Text]],1))=FALSE,ISERROR(FIND("]",Table_NamedRanges[[#This Row],[Reference Text]],1))=FALSE)</f>
        <v>0</v>
      </c>
      <c r="J65" s="20">
        <f>(LEN(Table_NamedRanges[[#This Row],[Reference Text]])-LEN(SUBSTITUTE(Table_NamedRanges[[#This Row],[Reference Text]],",","")))/LEN(",")</f>
        <v>0</v>
      </c>
      <c r="K65" s="20" t="str">
        <f>IF(Table_NamedRanges[[#This Row],[Starts with '']]=FALSE,"Other",IF(AND(Table_NamedRanges[[#This Row],[Count of Colon ":"]]=0,Table_NamedRanges[[#This Row],[Count of ","]]=0),"Single Cell",IF(Table_NamedRanges[[#This Row],[Count of Colon ":"]]=1,"Single Range", "Multiple (Cell or Range)")))</f>
        <v>Single Cell</v>
      </c>
    </row>
    <row r="66" spans="2:11" x14ac:dyDescent="0.25">
      <c r="B66" s="6" t="s">
        <v>507</v>
      </c>
      <c r="C66" s="8" t="s">
        <v>513</v>
      </c>
      <c r="D66" s="18">
        <f ca="1">IFERROR(INDIRECT(Table_NamedRanges[[#This Row],[Named Range Paste]]),"Undefined/Error")</f>
        <v>0</v>
      </c>
      <c r="E66" s="18" t="str">
        <f>Table_NamedRanges[[#This Row],[Reference Paste]]</f>
        <v>='Travel Expense Summary'!$J$22</v>
      </c>
      <c r="F66" s="18" t="b">
        <f ca="1">ISERROR(VLOOKUP(Table_NamedRanges[[#This Row],[Named Range Paste]],OFFSET(INDEX(Table_ErrorList[],1,1),0,MATCH(Table_ErrorList[[#Headers],[Attention To Named Range]],Table_ErrorList[#Headers],0)-1,ROWS(Table_ErrorList[]),1),1,FALSE))=FALSE</f>
        <v>1</v>
      </c>
      <c r="G66" s="20" t="b">
        <f>MID(Table_NamedRanges[[#This Row],[Reference Text]],2,1)="'"</f>
        <v>1</v>
      </c>
      <c r="H66" s="20">
        <f>(LEN(Table_NamedRanges[[#This Row],[Reference Text]])-LEN(SUBSTITUTE(Table_NamedRanges[[#This Row],[Reference Text]],":","")))/LEN(":")</f>
        <v>0</v>
      </c>
      <c r="I66" s="20" t="b">
        <f>OR(ISERROR(FIND("[",Table_NamedRanges[[#This Row],[Reference Text]],1))=FALSE,ISERROR(FIND("]",Table_NamedRanges[[#This Row],[Reference Text]],1))=FALSE)</f>
        <v>0</v>
      </c>
      <c r="J66" s="20">
        <f>(LEN(Table_NamedRanges[[#This Row],[Reference Text]])-LEN(SUBSTITUTE(Table_NamedRanges[[#This Row],[Reference Text]],",","")))/LEN(",")</f>
        <v>0</v>
      </c>
      <c r="K66" s="20" t="str">
        <f>IF(Table_NamedRanges[[#This Row],[Starts with '']]=FALSE,"Other",IF(AND(Table_NamedRanges[[#This Row],[Count of Colon ":"]]=0,Table_NamedRanges[[#This Row],[Count of ","]]=0),"Single Cell",IF(Table_NamedRanges[[#This Row],[Count of Colon ":"]]=1,"Single Range", "Multiple (Cell or Range)")))</f>
        <v>Single Cell</v>
      </c>
    </row>
    <row r="67" spans="2:11" x14ac:dyDescent="0.25">
      <c r="B67" s="6" t="s">
        <v>508</v>
      </c>
      <c r="C67" s="8" t="s">
        <v>514</v>
      </c>
      <c r="D67" s="18">
        <f ca="1">IFERROR(INDIRECT(Table_NamedRanges[[#This Row],[Named Range Paste]]),"Undefined/Error")</f>
        <v>0</v>
      </c>
      <c r="E67" s="18" t="str">
        <f>Table_NamedRanges[[#This Row],[Reference Paste]]</f>
        <v>='Travel Expense Summary'!$J$23</v>
      </c>
      <c r="F67" s="18" t="b">
        <f ca="1">ISERROR(VLOOKUP(Table_NamedRanges[[#This Row],[Named Range Paste]],OFFSET(INDEX(Table_ErrorList[],1,1),0,MATCH(Table_ErrorList[[#Headers],[Attention To Named Range]],Table_ErrorList[#Headers],0)-1,ROWS(Table_ErrorList[]),1),1,FALSE))=FALSE</f>
        <v>1</v>
      </c>
      <c r="G67" s="20" t="b">
        <f>MID(Table_NamedRanges[[#This Row],[Reference Text]],2,1)="'"</f>
        <v>1</v>
      </c>
      <c r="H67" s="20">
        <f>(LEN(Table_NamedRanges[[#This Row],[Reference Text]])-LEN(SUBSTITUTE(Table_NamedRanges[[#This Row],[Reference Text]],":","")))/LEN(":")</f>
        <v>0</v>
      </c>
      <c r="I67" s="20" t="b">
        <f>OR(ISERROR(FIND("[",Table_NamedRanges[[#This Row],[Reference Text]],1))=FALSE,ISERROR(FIND("]",Table_NamedRanges[[#This Row],[Reference Text]],1))=FALSE)</f>
        <v>0</v>
      </c>
      <c r="J67" s="20">
        <f>(LEN(Table_NamedRanges[[#This Row],[Reference Text]])-LEN(SUBSTITUTE(Table_NamedRanges[[#This Row],[Reference Text]],",","")))/LEN(",")</f>
        <v>0</v>
      </c>
      <c r="K67" s="20" t="str">
        <f>IF(Table_NamedRanges[[#This Row],[Starts with '']]=FALSE,"Other",IF(AND(Table_NamedRanges[[#This Row],[Count of Colon ":"]]=0,Table_NamedRanges[[#This Row],[Count of ","]]=0),"Single Cell",IF(Table_NamedRanges[[#This Row],[Count of Colon ":"]]=1,"Single Range", "Multiple (Cell or Range)")))</f>
        <v>Single Cell</v>
      </c>
    </row>
    <row r="68" spans="2:11" x14ac:dyDescent="0.25">
      <c r="B68" s="6" t="s">
        <v>515</v>
      </c>
      <c r="C68" s="8" t="s">
        <v>945</v>
      </c>
      <c r="D68" s="18">
        <f ca="1">IFERROR(INDIRECT(Table_NamedRanges[[#This Row],[Named Range Paste]]),"Undefined/Error")</f>
        <v>0</v>
      </c>
      <c r="E68" s="18" t="str">
        <f>Table_NamedRanges[[#This Row],[Reference Paste]]</f>
        <v>='Travel Expense Summary'!$F$42</v>
      </c>
      <c r="F68" s="18" t="b">
        <f ca="1">ISERROR(VLOOKUP(Table_NamedRanges[[#This Row],[Named Range Paste]],OFFSET(INDEX(Table_ErrorList[],1,1),0,MATCH(Table_ErrorList[[#Headers],[Attention To Named Range]],Table_ErrorList[#Headers],0)-1,ROWS(Table_ErrorList[]),1),1,FALSE))=FALSE</f>
        <v>1</v>
      </c>
      <c r="G68" s="20" t="b">
        <f>MID(Table_NamedRanges[[#This Row],[Reference Text]],2,1)="'"</f>
        <v>1</v>
      </c>
      <c r="H68" s="20">
        <f>(LEN(Table_NamedRanges[[#This Row],[Reference Text]])-LEN(SUBSTITUTE(Table_NamedRanges[[#This Row],[Reference Text]],":","")))/LEN(":")</f>
        <v>0</v>
      </c>
      <c r="I68" s="20" t="b">
        <f>OR(ISERROR(FIND("[",Table_NamedRanges[[#This Row],[Reference Text]],1))=FALSE,ISERROR(FIND("]",Table_NamedRanges[[#This Row],[Reference Text]],1))=FALSE)</f>
        <v>0</v>
      </c>
      <c r="J68" s="20">
        <f>(LEN(Table_NamedRanges[[#This Row],[Reference Text]])-LEN(SUBSTITUTE(Table_NamedRanges[[#This Row],[Reference Text]],",","")))/LEN(",")</f>
        <v>0</v>
      </c>
      <c r="K68" s="20" t="str">
        <f>IF(Table_NamedRanges[[#This Row],[Starts with '']]=FALSE,"Other",IF(AND(Table_NamedRanges[[#This Row],[Count of Colon ":"]]=0,Table_NamedRanges[[#This Row],[Count of ","]]=0),"Single Cell",IF(Table_NamedRanges[[#This Row],[Count of Colon ":"]]=1,"Single Range", "Multiple (Cell or Range)")))</f>
        <v>Single Cell</v>
      </c>
    </row>
    <row r="69" spans="2:11" x14ac:dyDescent="0.25">
      <c r="B69" s="6" t="s">
        <v>516</v>
      </c>
      <c r="C69" s="8" t="s">
        <v>946</v>
      </c>
      <c r="D69" s="18">
        <f ca="1">IFERROR(INDIRECT(Table_NamedRanges[[#This Row],[Named Range Paste]]),"Undefined/Error")</f>
        <v>0</v>
      </c>
      <c r="E69" s="18" t="str">
        <f>Table_NamedRanges[[#This Row],[Reference Paste]]</f>
        <v>='Travel Expense Summary'!$C$43</v>
      </c>
      <c r="F69" s="18" t="b">
        <f ca="1">ISERROR(VLOOKUP(Table_NamedRanges[[#This Row],[Named Range Paste]],OFFSET(INDEX(Table_ErrorList[],1,1),0,MATCH(Table_ErrorList[[#Headers],[Attention To Named Range]],Table_ErrorList[#Headers],0)-1,ROWS(Table_ErrorList[]),1),1,FALSE))=FALSE</f>
        <v>1</v>
      </c>
      <c r="G69" s="20" t="b">
        <f>MID(Table_NamedRanges[[#This Row],[Reference Text]],2,1)="'"</f>
        <v>1</v>
      </c>
      <c r="H69" s="20">
        <f>(LEN(Table_NamedRanges[[#This Row],[Reference Text]])-LEN(SUBSTITUTE(Table_NamedRanges[[#This Row],[Reference Text]],":","")))/LEN(":")</f>
        <v>0</v>
      </c>
      <c r="I69" s="20" t="b">
        <f>OR(ISERROR(FIND("[",Table_NamedRanges[[#This Row],[Reference Text]],1))=FALSE,ISERROR(FIND("]",Table_NamedRanges[[#This Row],[Reference Text]],1))=FALSE)</f>
        <v>0</v>
      </c>
      <c r="J69" s="20">
        <f>(LEN(Table_NamedRanges[[#This Row],[Reference Text]])-LEN(SUBSTITUTE(Table_NamedRanges[[#This Row],[Reference Text]],",","")))/LEN(",")</f>
        <v>0</v>
      </c>
      <c r="K69" s="20" t="str">
        <f>IF(Table_NamedRanges[[#This Row],[Starts with '']]=FALSE,"Other",IF(AND(Table_NamedRanges[[#This Row],[Count of Colon ":"]]=0,Table_NamedRanges[[#This Row],[Count of ","]]=0),"Single Cell",IF(Table_NamedRanges[[#This Row],[Count of Colon ":"]]=1,"Single Range", "Multiple (Cell or Range)")))</f>
        <v>Single Cell</v>
      </c>
    </row>
    <row r="70" spans="2:11" ht="105" x14ac:dyDescent="0.25">
      <c r="B70" s="6" t="s">
        <v>1263</v>
      </c>
      <c r="C70" s="8" t="s">
        <v>1264</v>
      </c>
      <c r="D70" s="18" t="str">
        <f ca="1">IFERROR(INDIRECT(Table_NamedRanges[[#This Row],[Named Range Paste]]),"Undefined/Error")</f>
        <v>Undefined/Error</v>
      </c>
      <c r="E70" s="18" t="str">
        <f>Table_NamedRanges[[#This Row],[Reference Paste]]</f>
        <v>='Travel Expense Summary'!$C$1:$AA$4,'Travel Expense Summary'!$D$8,'Travel Expense Summary'!$B$11,'Travel Expense Summary'!$H$11,'Travel Expense Summary'!$O$11,'Travel Expense Summary'!$V$13:$Y$22,'Travel Expense Summary'!$B$19 'Travel Expense Summary'!</v>
      </c>
      <c r="F70" s="18" t="b">
        <f ca="1">ISERROR(VLOOKUP(Table_NamedRanges[[#This Row],[Named Range Paste]],OFFSET(INDEX(Table_ErrorList[],1,1),0,MATCH(Table_ErrorList[[#Headers],[Attention To Named Range]],Table_ErrorList[#Headers],0)-1,ROWS(Table_ErrorList[]),1),1,FALSE))=FALSE</f>
        <v>0</v>
      </c>
      <c r="G70" s="20" t="b">
        <f>MID(Table_NamedRanges[[#This Row],[Reference Text]],2,1)="'"</f>
        <v>1</v>
      </c>
      <c r="H70" s="20">
        <f>(LEN(Table_NamedRanges[[#This Row],[Reference Text]])-LEN(SUBSTITUTE(Table_NamedRanges[[#This Row],[Reference Text]],":","")))/LEN(":")</f>
        <v>2</v>
      </c>
      <c r="I70" s="20" t="b">
        <f>OR(ISERROR(FIND("[",Table_NamedRanges[[#This Row],[Reference Text]],1))=FALSE,ISERROR(FIND("]",Table_NamedRanges[[#This Row],[Reference Text]],1))=FALSE)</f>
        <v>0</v>
      </c>
      <c r="J70" s="20">
        <f>(LEN(Table_NamedRanges[[#This Row],[Reference Text]])-LEN(SUBSTITUTE(Table_NamedRanges[[#This Row],[Reference Text]],",","")))/LEN(",")</f>
        <v>6</v>
      </c>
      <c r="K70" s="20" t="str">
        <f>IF(Table_NamedRanges[[#This Row],[Starts with '']]=FALSE,"Other",IF(AND(Table_NamedRanges[[#This Row],[Count of Colon ":"]]=0,Table_NamedRanges[[#This Row],[Count of ","]]=0),"Single Cell",IF(Table_NamedRanges[[#This Row],[Count of Colon ":"]]=1,"Single Range", "Multiple (Cell or Range)")))</f>
        <v>Multiple (Cell or Range)</v>
      </c>
    </row>
    <row r="71" spans="2:11" ht="30" x14ac:dyDescent="0.25">
      <c r="B71" s="6" t="s">
        <v>131</v>
      </c>
      <c r="C71" s="8" t="s">
        <v>426</v>
      </c>
      <c r="D71" s="18" t="str">
        <f ca="1">IFERROR(INDIRECT(Table_NamedRanges[[#This Row],[Named Range Paste]]),"Undefined/Error")</f>
        <v xml:space="preserve">This is a free text field with a 40 character limit. </v>
      </c>
      <c r="E71" s="18" t="str">
        <f>Table_NamedRanges[[#This Row],[Reference Paste]]</f>
        <v>='Travel Expense Summary'!$C$3</v>
      </c>
      <c r="F71" s="18" t="b">
        <f ca="1">ISERROR(VLOOKUP(Table_NamedRanges[[#This Row],[Named Range Paste]],OFFSET(INDEX(Table_ErrorList[],1,1),0,MATCH(Table_ErrorList[[#Headers],[Attention To Named Range]],Table_ErrorList[#Headers],0)-1,ROWS(Table_ErrorList[]),1),1,FALSE))=FALSE</f>
        <v>0</v>
      </c>
      <c r="G71" s="20" t="b">
        <f>MID(Table_NamedRanges[[#This Row],[Reference Text]],2,1)="'"</f>
        <v>1</v>
      </c>
      <c r="H71" s="20">
        <f>(LEN(Table_NamedRanges[[#This Row],[Reference Text]])-LEN(SUBSTITUTE(Table_NamedRanges[[#This Row],[Reference Text]],":","")))/LEN(":")</f>
        <v>0</v>
      </c>
      <c r="I71" s="20" t="b">
        <f>OR(ISERROR(FIND("[",Table_NamedRanges[[#This Row],[Reference Text]],1))=FALSE,ISERROR(FIND("]",Table_NamedRanges[[#This Row],[Reference Text]],1))=FALSE)</f>
        <v>0</v>
      </c>
      <c r="J71" s="20">
        <f>(LEN(Table_NamedRanges[[#This Row],[Reference Text]])-LEN(SUBSTITUTE(Table_NamedRanges[[#This Row],[Reference Text]],",","")))/LEN(",")</f>
        <v>0</v>
      </c>
      <c r="K71" s="20" t="str">
        <f>IF(Table_NamedRanges[[#This Row],[Starts with '']]=FALSE,"Other",IF(AND(Table_NamedRanges[[#This Row],[Count of Colon ":"]]=0,Table_NamedRanges[[#This Row],[Count of ","]]=0),"Single Cell",IF(Table_NamedRanges[[#This Row],[Count of Colon ":"]]=1,"Single Range", "Multiple (Cell or Range)")))</f>
        <v>Single Cell</v>
      </c>
    </row>
    <row r="72" spans="2:11" x14ac:dyDescent="0.25">
      <c r="B72" s="6" t="s">
        <v>132</v>
      </c>
      <c r="C72" s="8" t="s">
        <v>427</v>
      </c>
      <c r="D72" s="18" t="str">
        <f ca="1">IFERROR(INDIRECT(Table_NamedRanges[[#This Row],[Named Range Paste]]),"Undefined/Error")</f>
        <v>Enter 'First Name'.</v>
      </c>
      <c r="E72" s="18" t="str">
        <f>Table_NamedRanges[[#This Row],[Reference Paste]]</f>
        <v>='Travel Expense Summary'!$C$1</v>
      </c>
      <c r="F72" s="18" t="b">
        <f ca="1">ISERROR(VLOOKUP(Table_NamedRanges[[#This Row],[Named Range Paste]],OFFSET(INDEX(Table_ErrorList[],1,1),0,MATCH(Table_ErrorList[[#Headers],[Attention To Named Range]],Table_ErrorList[#Headers],0)-1,ROWS(Table_ErrorList[]),1),1,FALSE))=FALSE</f>
        <v>0</v>
      </c>
      <c r="G72" s="20" t="b">
        <f>MID(Table_NamedRanges[[#This Row],[Reference Text]],2,1)="'"</f>
        <v>1</v>
      </c>
      <c r="H72" s="20">
        <f>(LEN(Table_NamedRanges[[#This Row],[Reference Text]])-LEN(SUBSTITUTE(Table_NamedRanges[[#This Row],[Reference Text]],":","")))/LEN(":")</f>
        <v>0</v>
      </c>
      <c r="I72" s="20" t="b">
        <f>OR(ISERROR(FIND("[",Table_NamedRanges[[#This Row],[Reference Text]],1))=FALSE,ISERROR(FIND("]",Table_NamedRanges[[#This Row],[Reference Text]],1))=FALSE)</f>
        <v>0</v>
      </c>
      <c r="J72" s="20">
        <f>(LEN(Table_NamedRanges[[#This Row],[Reference Text]])-LEN(SUBSTITUTE(Table_NamedRanges[[#This Row],[Reference Text]],",","")))/LEN(",")</f>
        <v>0</v>
      </c>
      <c r="K72" s="20" t="str">
        <f>IF(Table_NamedRanges[[#This Row],[Starts with '']]=FALSE,"Other",IF(AND(Table_NamedRanges[[#This Row],[Count of Colon ":"]]=0,Table_NamedRanges[[#This Row],[Count of ","]]=0),"Single Cell",IF(Table_NamedRanges[[#This Row],[Count of Colon ":"]]=1,"Single Range", "Multiple (Cell or Range)")))</f>
        <v>Single Cell</v>
      </c>
    </row>
    <row r="73" spans="2:11" x14ac:dyDescent="0.25">
      <c r="B73" s="6" t="s">
        <v>1142</v>
      </c>
      <c r="C73" s="8" t="s">
        <v>1143</v>
      </c>
      <c r="D73" s="18" t="str">
        <f ca="1">IFERROR(INDIRECT(Table_NamedRanges[[#This Row],[Named Range Paste]]),"Undefined/Error")</f>
        <v/>
      </c>
      <c r="E73" s="18" t="str">
        <f>Table_NamedRanges[[#This Row],[Reference Paste]]</f>
        <v>='Expense Type Validation'!$F$52</v>
      </c>
      <c r="F73" s="18" t="b">
        <f ca="1">ISERROR(VLOOKUP(Table_NamedRanges[[#This Row],[Named Range Paste]],OFFSET(INDEX(Table_ErrorList[],1,1),0,MATCH(Table_ErrorList[[#Headers],[Attention To Named Range]],Table_ErrorList[#Headers],0)-1,ROWS(Table_ErrorList[]),1),1,FALSE))=FALSE</f>
        <v>0</v>
      </c>
      <c r="G73" s="20" t="b">
        <f>MID(Table_NamedRanges[[#This Row],[Reference Text]],2,1)="'"</f>
        <v>1</v>
      </c>
      <c r="H73" s="20">
        <f>(LEN(Table_NamedRanges[[#This Row],[Reference Text]])-LEN(SUBSTITUTE(Table_NamedRanges[[#This Row],[Reference Text]],":","")))/LEN(":")</f>
        <v>0</v>
      </c>
      <c r="I73" s="20" t="b">
        <f>OR(ISERROR(FIND("[",Table_NamedRanges[[#This Row],[Reference Text]],1))=FALSE,ISERROR(FIND("]",Table_NamedRanges[[#This Row],[Reference Text]],1))=FALSE)</f>
        <v>0</v>
      </c>
      <c r="J73" s="20">
        <f>(LEN(Table_NamedRanges[[#This Row],[Reference Text]])-LEN(SUBSTITUTE(Table_NamedRanges[[#This Row],[Reference Text]],",","")))/LEN(",")</f>
        <v>0</v>
      </c>
      <c r="K73" s="20" t="str">
        <f>IF(Table_NamedRanges[[#This Row],[Starts with '']]=FALSE,"Other",IF(AND(Table_NamedRanges[[#This Row],[Count of Colon ":"]]=0,Table_NamedRanges[[#This Row],[Count of ","]]=0),"Single Cell",IF(Table_NamedRanges[[#This Row],[Count of Colon ":"]]=1,"Single Range", "Multiple (Cell or Range)")))</f>
        <v>Single Cell</v>
      </c>
    </row>
    <row r="74" spans="2:11" ht="75" x14ac:dyDescent="0.25">
      <c r="B74" s="6" t="s">
        <v>246</v>
      </c>
      <c r="C74" s="8" t="s">
        <v>247</v>
      </c>
      <c r="D74" s="18" t="str">
        <f ca="1">IFERROR(INDIRECT(Table_NamedRanges[[#This Row],[Named Range Paste]]),"Undefined/Error")</f>
        <v>Undefined/Error</v>
      </c>
      <c r="E74" s="18" t="str">
        <f>Table_NamedRanges[[#This Row],[Reference Paste]]</f>
        <v>=IFERROR(NOT(VLOOKUP(Field17_ClaimType,Table_ClaimType,MATCH(Table_ClaimType[[#Headers],[Advance Amount Available]],Table_ClaimType[#Headers],0),FALSE)),FALSE)</v>
      </c>
      <c r="F74" s="18" t="b">
        <f ca="1">ISERROR(VLOOKUP(Table_NamedRanges[[#This Row],[Named Range Paste]],OFFSET(INDEX(Table_ErrorList[],1,1),0,MATCH(Table_ErrorList[[#Headers],[Attention To Named Range]],Table_ErrorList[#Headers],0)-1,ROWS(Table_ErrorList[]),1),1,FALSE))=FALSE</f>
        <v>0</v>
      </c>
      <c r="G74" s="20" t="b">
        <f>MID(Table_NamedRanges[[#This Row],[Reference Text]],2,1)="'"</f>
        <v>0</v>
      </c>
      <c r="H74" s="20">
        <f>(LEN(Table_NamedRanges[[#This Row],[Reference Text]])-LEN(SUBSTITUTE(Table_NamedRanges[[#This Row],[Reference Text]],":","")))/LEN(":")</f>
        <v>0</v>
      </c>
      <c r="I74" s="20" t="b">
        <f>OR(ISERROR(FIND("[",Table_NamedRanges[[#This Row],[Reference Text]],1))=FALSE,ISERROR(FIND("]",Table_NamedRanges[[#This Row],[Reference Text]],1))=FALSE)</f>
        <v>1</v>
      </c>
      <c r="J74" s="20">
        <f>(LEN(Table_NamedRanges[[#This Row],[Reference Text]])-LEN(SUBSTITUTE(Table_NamedRanges[[#This Row],[Reference Text]],",","")))/LEN(",")</f>
        <v>7</v>
      </c>
      <c r="K74" s="20" t="str">
        <f>IF(Table_NamedRanges[[#This Row],[Starts with '']]=FALSE,"Other",IF(AND(Table_NamedRanges[[#This Row],[Count of Colon ":"]]=0,Table_NamedRanges[[#This Row],[Count of ","]]=0),"Single Cell",IF(Table_NamedRanges[[#This Row],[Count of Colon ":"]]=1,"Single Range", "Multiple (Cell or Range)")))</f>
        <v>Other</v>
      </c>
    </row>
    <row r="75" spans="2:11" ht="75" x14ac:dyDescent="0.25">
      <c r="B75" s="6" t="s">
        <v>1125</v>
      </c>
      <c r="C75" s="8" t="s">
        <v>1126</v>
      </c>
      <c r="D75" s="18" t="str">
        <f ca="1">IFERROR(INDIRECT(Table_NamedRanges[[#This Row],[Named Range Paste]]),"Undefined/Error")</f>
        <v>Undefined/Error</v>
      </c>
      <c r="E75" s="18" t="str">
        <f>Table_NamedRanges[[#This Row],[Reference Paste]]</f>
        <v>=VLOOKUP(Field09_PayeeType,Table_PayeeType,MATCH(Table_PayeeType[[#Headers],[ClaimDetails Available]],Table_PayeeType[#Headers],0),FALSE)=FALSE</v>
      </c>
      <c r="F75" s="18" t="b">
        <f ca="1">ISERROR(VLOOKUP(Table_NamedRanges[[#This Row],[Named Range Paste]],OFFSET(INDEX(Table_ErrorList[],1,1),0,MATCH(Table_ErrorList[[#Headers],[Attention To Named Range]],Table_ErrorList[#Headers],0)-1,ROWS(Table_ErrorList[]),1),1,FALSE))=FALSE</f>
        <v>0</v>
      </c>
      <c r="G75" s="20" t="b">
        <f>MID(Table_NamedRanges[[#This Row],[Reference Text]],2,1)="'"</f>
        <v>0</v>
      </c>
      <c r="H75" s="20">
        <f>(LEN(Table_NamedRanges[[#This Row],[Reference Text]])-LEN(SUBSTITUTE(Table_NamedRanges[[#This Row],[Reference Text]],":","")))/LEN(":")</f>
        <v>0</v>
      </c>
      <c r="I75" s="20" t="b">
        <f>OR(ISERROR(FIND("[",Table_NamedRanges[[#This Row],[Reference Text]],1))=FALSE,ISERROR(FIND("]",Table_NamedRanges[[#This Row],[Reference Text]],1))=FALSE)</f>
        <v>1</v>
      </c>
      <c r="J75" s="20">
        <f>(LEN(Table_NamedRanges[[#This Row],[Reference Text]])-LEN(SUBSTITUTE(Table_NamedRanges[[#This Row],[Reference Text]],",","")))/LEN(",")</f>
        <v>6</v>
      </c>
      <c r="K75" s="20" t="str">
        <f>IF(Table_NamedRanges[[#This Row],[Starts with '']]=FALSE,"Other",IF(AND(Table_NamedRanges[[#This Row],[Count of Colon ":"]]=0,Table_NamedRanges[[#This Row],[Count of ","]]=0),"Single Cell",IF(Table_NamedRanges[[#This Row],[Count of Colon ":"]]=1,"Single Range", "Multiple (Cell or Range)")))</f>
        <v>Other</v>
      </c>
    </row>
    <row r="76" spans="2:11" x14ac:dyDescent="0.25">
      <c r="B76" s="6" t="s">
        <v>1144</v>
      </c>
      <c r="C76" s="8" t="s">
        <v>1145</v>
      </c>
      <c r="D76" s="18" t="str">
        <f ca="1">IFERROR(INDIRECT(Table_NamedRanges[[#This Row],[Named Range Paste]]),"Undefined/Error")</f>
        <v/>
      </c>
      <c r="E76" s="18" t="str">
        <f>Table_NamedRanges[[#This Row],[Reference Paste]]</f>
        <v>='Expense Type Validation'!$E$52</v>
      </c>
      <c r="F76" s="18" t="b">
        <f ca="1">ISERROR(VLOOKUP(Table_NamedRanges[[#This Row],[Named Range Paste]],OFFSET(INDEX(Table_ErrorList[],1,1),0,MATCH(Table_ErrorList[[#Headers],[Attention To Named Range]],Table_ErrorList[#Headers],0)-1,ROWS(Table_ErrorList[]),1),1,FALSE))=FALSE</f>
        <v>0</v>
      </c>
      <c r="G76" s="20" t="b">
        <f>MID(Table_NamedRanges[[#This Row],[Reference Text]],2,1)="'"</f>
        <v>1</v>
      </c>
      <c r="H76" s="20">
        <f>(LEN(Table_NamedRanges[[#This Row],[Reference Text]])-LEN(SUBSTITUTE(Table_NamedRanges[[#This Row],[Reference Text]],":","")))/LEN(":")</f>
        <v>0</v>
      </c>
      <c r="I76" s="20" t="b">
        <f>OR(ISERROR(FIND("[",Table_NamedRanges[[#This Row],[Reference Text]],1))=FALSE,ISERROR(FIND("]",Table_NamedRanges[[#This Row],[Reference Text]],1))=FALSE)</f>
        <v>0</v>
      </c>
      <c r="J76" s="20">
        <f>(LEN(Table_NamedRanges[[#This Row],[Reference Text]])-LEN(SUBSTITUTE(Table_NamedRanges[[#This Row],[Reference Text]],",","")))/LEN(",")</f>
        <v>0</v>
      </c>
      <c r="K76" s="20" t="str">
        <f>IF(Table_NamedRanges[[#This Row],[Starts with '']]=FALSE,"Other",IF(AND(Table_NamedRanges[[#This Row],[Count of Colon ":"]]=0,Table_NamedRanges[[#This Row],[Count of ","]]=0),"Single Cell",IF(Table_NamedRanges[[#This Row],[Count of Colon ":"]]=1,"Single Range", "Multiple (Cell or Range)")))</f>
        <v>Single Cell</v>
      </c>
    </row>
    <row r="77" spans="2:11" ht="75" x14ac:dyDescent="0.25">
      <c r="B77" s="6" t="s">
        <v>482</v>
      </c>
      <c r="C77" s="8" t="s">
        <v>493</v>
      </c>
      <c r="D77" s="18" t="str">
        <f ca="1">IFERROR(INDIRECT(Table_NamedRanges[[#This Row],[Named Range Paste]]),"Undefined/Error")</f>
        <v>Undefined/Error</v>
      </c>
      <c r="E77" s="18" t="str">
        <f>Table_NamedRanges[[#This Row],[Reference Paste]]</f>
        <v>=IFERROR(NOT(VLOOKUP(Field19_Purpose,Table_Conference,MATCH(Table_Conference[[#Headers],[Form Required Available]],Table_Conference[#Headers],0),FALSE)),FALSE)</v>
      </c>
      <c r="F77" s="18" t="b">
        <f ca="1">ISERROR(VLOOKUP(Table_NamedRanges[[#This Row],[Named Range Paste]],OFFSET(INDEX(Table_ErrorList[],1,1),0,MATCH(Table_ErrorList[[#Headers],[Attention To Named Range]],Table_ErrorList[#Headers],0)-1,ROWS(Table_ErrorList[]),1),1,FALSE))=FALSE</f>
        <v>0</v>
      </c>
      <c r="G77" s="20" t="b">
        <f>MID(Table_NamedRanges[[#This Row],[Reference Text]],2,1)="'"</f>
        <v>0</v>
      </c>
      <c r="H77" s="20">
        <f>(LEN(Table_NamedRanges[[#This Row],[Reference Text]])-LEN(SUBSTITUTE(Table_NamedRanges[[#This Row],[Reference Text]],":","")))/LEN(":")</f>
        <v>0</v>
      </c>
      <c r="I77" s="20" t="b">
        <f>OR(ISERROR(FIND("[",Table_NamedRanges[[#This Row],[Reference Text]],1))=FALSE,ISERROR(FIND("]",Table_NamedRanges[[#This Row],[Reference Text]],1))=FALSE)</f>
        <v>1</v>
      </c>
      <c r="J77" s="20">
        <f>(LEN(Table_NamedRanges[[#This Row],[Reference Text]])-LEN(SUBSTITUTE(Table_NamedRanges[[#This Row],[Reference Text]],",","")))/LEN(",")</f>
        <v>7</v>
      </c>
      <c r="K77" s="20" t="str">
        <f>IF(Table_NamedRanges[[#This Row],[Starts with '']]=FALSE,"Other",IF(AND(Table_NamedRanges[[#This Row],[Count of Colon ":"]]=0,Table_NamedRanges[[#This Row],[Count of ","]]=0),"Single Cell",IF(Table_NamedRanges[[#This Row],[Count of Colon ":"]]=1,"Single Range", "Multiple (Cell or Range)")))</f>
        <v>Other</v>
      </c>
    </row>
    <row r="78" spans="2:11" x14ac:dyDescent="0.25">
      <c r="B78" s="6" t="s">
        <v>200</v>
      </c>
      <c r="C78" s="8" t="s">
        <v>1265</v>
      </c>
      <c r="D78" s="18">
        <f ca="1">IFERROR(INDIRECT(Table_NamedRanges[[#This Row],[Named Range Paste]]),"Undefined/Error")</f>
        <v>2.75E-2</v>
      </c>
      <c r="E78" s="18" t="str">
        <f>Table_NamedRanges[[#This Row],[Reference Paste]]</f>
        <v>='Particulars Validation'!$AR$7</v>
      </c>
      <c r="F78" s="18" t="b">
        <f ca="1">ISERROR(VLOOKUP(Table_NamedRanges[[#This Row],[Named Range Paste]],OFFSET(INDEX(Table_ErrorList[],1,1),0,MATCH(Table_ErrorList[[#Headers],[Attention To Named Range]],Table_ErrorList[#Headers],0)-1,ROWS(Table_ErrorList[]),1),1,FALSE))=FALSE</f>
        <v>0</v>
      </c>
      <c r="G78" s="20" t="b">
        <f>MID(Table_NamedRanges[[#This Row],[Reference Text]],2,1)="'"</f>
        <v>1</v>
      </c>
      <c r="H78" s="20">
        <f>(LEN(Table_NamedRanges[[#This Row],[Reference Text]])-LEN(SUBSTITUTE(Table_NamedRanges[[#This Row],[Reference Text]],":","")))/LEN(":")</f>
        <v>0</v>
      </c>
      <c r="I78" s="20" t="b">
        <f>OR(ISERROR(FIND("[",Table_NamedRanges[[#This Row],[Reference Text]],1))=FALSE,ISERROR(FIND("]",Table_NamedRanges[[#This Row],[Reference Text]],1))=FALSE)</f>
        <v>0</v>
      </c>
      <c r="J78" s="20">
        <f>(LEN(Table_NamedRanges[[#This Row],[Reference Text]])-LEN(SUBSTITUTE(Table_NamedRanges[[#This Row],[Reference Text]],",","")))/LEN(",")</f>
        <v>0</v>
      </c>
      <c r="K78" s="20" t="str">
        <f>IF(Table_NamedRanges[[#This Row],[Starts with '']]=FALSE,"Other",IF(AND(Table_NamedRanges[[#This Row],[Count of Colon ":"]]=0,Table_NamedRanges[[#This Row],[Count of ","]]=0),"Single Cell",IF(Table_NamedRanges[[#This Row],[Count of Colon ":"]]=1,"Single Range", "Multiple (Cell or Range)")))</f>
        <v>Single Cell</v>
      </c>
    </row>
    <row r="79" spans="2:11" x14ac:dyDescent="0.25">
      <c r="B79" s="6" t="s">
        <v>201</v>
      </c>
      <c r="C79" s="8" t="s">
        <v>1266</v>
      </c>
      <c r="D79" s="18">
        <f ca="1">IFERROR(INDIRECT(Table_NamedRanges[[#This Row],[Named Range Paste]]),"Undefined/Error")</f>
        <v>5.7500000000000002E-2</v>
      </c>
      <c r="E79" s="18" t="str">
        <f>Table_NamedRanges[[#This Row],[Reference Paste]]</f>
        <v>='Particulars Validation'!$AS$7</v>
      </c>
      <c r="F79" s="18" t="b">
        <f ca="1">ISERROR(VLOOKUP(Table_NamedRanges[[#This Row],[Named Range Paste]],OFFSET(INDEX(Table_ErrorList[],1,1),0,MATCH(Table_ErrorList[[#Headers],[Attention To Named Range]],Table_ErrorList[#Headers],0)-1,ROWS(Table_ErrorList[]),1),1,FALSE))=FALSE</f>
        <v>0</v>
      </c>
      <c r="G79" s="20" t="b">
        <f>MID(Table_NamedRanges[[#This Row],[Reference Text]],2,1)="'"</f>
        <v>1</v>
      </c>
      <c r="H79" s="20">
        <f>(LEN(Table_NamedRanges[[#This Row],[Reference Text]])-LEN(SUBSTITUTE(Table_NamedRanges[[#This Row],[Reference Text]],":","")))/LEN(":")</f>
        <v>0</v>
      </c>
      <c r="I79" s="20" t="b">
        <f>OR(ISERROR(FIND("[",Table_NamedRanges[[#This Row],[Reference Text]],1))=FALSE,ISERROR(FIND("]",Table_NamedRanges[[#This Row],[Reference Text]],1))=FALSE)</f>
        <v>0</v>
      </c>
      <c r="J79" s="20">
        <f>(LEN(Table_NamedRanges[[#This Row],[Reference Text]])-LEN(SUBSTITUTE(Table_NamedRanges[[#This Row],[Reference Text]],",","")))/LEN(",")</f>
        <v>0</v>
      </c>
      <c r="K79" s="20" t="str">
        <f>IF(Table_NamedRanges[[#This Row],[Starts with '']]=FALSE,"Other",IF(AND(Table_NamedRanges[[#This Row],[Count of Colon ":"]]=0,Table_NamedRanges[[#This Row],[Count of ","]]=0),"Single Cell",IF(Table_NamedRanges[[#This Row],[Count of Colon ":"]]=1,"Single Range", "Multiple (Cell or Range)")))</f>
        <v>Single Cell</v>
      </c>
    </row>
    <row r="80" spans="2:11" x14ac:dyDescent="0.25">
      <c r="B80" s="6" t="s">
        <v>202</v>
      </c>
      <c r="C80" s="8" t="s">
        <v>1267</v>
      </c>
      <c r="D80" s="18">
        <f ca="1">IFERROR(INDIRECT(Table_NamedRanges[[#This Row],[Named Range Paste]]),"Undefined/Error")</f>
        <v>0.13</v>
      </c>
      <c r="E80" s="18" t="str">
        <f>Table_NamedRanges[[#This Row],[Reference Paste]]</f>
        <v>='Particulars Validation'!$AT$7</v>
      </c>
      <c r="F80" s="18" t="b">
        <f ca="1">ISERROR(VLOOKUP(Table_NamedRanges[[#This Row],[Named Range Paste]],OFFSET(INDEX(Table_ErrorList[],1,1),0,MATCH(Table_ErrorList[[#Headers],[Attention To Named Range]],Table_ErrorList[#Headers],0)-1,ROWS(Table_ErrorList[]),1),1,FALSE))=FALSE</f>
        <v>0</v>
      </c>
      <c r="G80" s="20" t="b">
        <f>MID(Table_NamedRanges[[#This Row],[Reference Text]],2,1)="'"</f>
        <v>1</v>
      </c>
      <c r="H80" s="20">
        <f>(LEN(Table_NamedRanges[[#This Row],[Reference Text]])-LEN(SUBSTITUTE(Table_NamedRanges[[#This Row],[Reference Text]],":","")))/LEN(":")</f>
        <v>0</v>
      </c>
      <c r="I80" s="20" t="b">
        <f>OR(ISERROR(FIND("[",Table_NamedRanges[[#This Row],[Reference Text]],1))=FALSE,ISERROR(FIND("]",Table_NamedRanges[[#This Row],[Reference Text]],1))=FALSE)</f>
        <v>0</v>
      </c>
      <c r="J80" s="20">
        <f>(LEN(Table_NamedRanges[[#This Row],[Reference Text]])-LEN(SUBSTITUTE(Table_NamedRanges[[#This Row],[Reference Text]],",","")))/LEN(",")</f>
        <v>0</v>
      </c>
      <c r="K80" s="20" t="str">
        <f>IF(Table_NamedRanges[[#This Row],[Starts with '']]=FALSE,"Other",IF(AND(Table_NamedRanges[[#This Row],[Count of Colon ":"]]=0,Table_NamedRanges[[#This Row],[Count of ","]]=0),"Single Cell",IF(Table_NamedRanges[[#This Row],[Count of Colon ":"]]=1,"Single Range", "Multiple (Cell or Range)")))</f>
        <v>Single Cell</v>
      </c>
    </row>
    <row r="81" spans="2:11" x14ac:dyDescent="0.25">
      <c r="B81" s="6" t="s">
        <v>110</v>
      </c>
      <c r="C81" s="8" t="s">
        <v>111</v>
      </c>
      <c r="D81" s="18" t="str">
        <f ca="1">IFERROR(INDIRECT(Table_NamedRanges[[#This Row],[Named Range Paste]]),"Undefined/Error")</f>
        <v>07-010</v>
      </c>
      <c r="E81" s="18" t="str">
        <f>Table_NamedRanges[[#This Row],[Reference Paste]]</f>
        <v>=Table_ErrorList</v>
      </c>
      <c r="F81" s="18" t="b">
        <f ca="1">ISERROR(VLOOKUP(Table_NamedRanges[[#This Row],[Named Range Paste]],OFFSET(INDEX(Table_ErrorList[],1,1),0,MATCH(Table_ErrorList[[#Headers],[Attention To Named Range]],Table_ErrorList[#Headers],0)-1,ROWS(Table_ErrorList[]),1),1,FALSE))=FALSE</f>
        <v>0</v>
      </c>
      <c r="G81" s="20" t="b">
        <f>MID(Table_NamedRanges[[#This Row],[Reference Text]],2,1)="'"</f>
        <v>0</v>
      </c>
      <c r="H81" s="20">
        <f>(LEN(Table_NamedRanges[[#This Row],[Reference Text]])-LEN(SUBSTITUTE(Table_NamedRanges[[#This Row],[Reference Text]],":","")))/LEN(":")</f>
        <v>0</v>
      </c>
      <c r="I81" s="20" t="b">
        <f>OR(ISERROR(FIND("[",Table_NamedRanges[[#This Row],[Reference Text]],1))=FALSE,ISERROR(FIND("]",Table_NamedRanges[[#This Row],[Reference Text]],1))=FALSE)</f>
        <v>0</v>
      </c>
      <c r="J81" s="20">
        <f>(LEN(Table_NamedRanges[[#This Row],[Reference Text]])-LEN(SUBSTITUTE(Table_NamedRanges[[#This Row],[Reference Text]],",","")))/LEN(",")</f>
        <v>0</v>
      </c>
      <c r="K81" s="20" t="str">
        <f>IF(Table_NamedRanges[[#This Row],[Starts with '']]=FALSE,"Other",IF(AND(Table_NamedRanges[[#This Row],[Count of Colon ":"]]=0,Table_NamedRanges[[#This Row],[Count of ","]]=0),"Single Cell",IF(Table_NamedRanges[[#This Row],[Count of Colon ":"]]=1,"Single Range", "Multiple (Cell or Range)")))</f>
        <v>Other</v>
      </c>
    </row>
    <row r="82" spans="2:11" x14ac:dyDescent="0.25">
      <c r="B82" s="6" t="s">
        <v>112</v>
      </c>
      <c r="C82" s="8" t="s">
        <v>113</v>
      </c>
      <c r="D82" s="18" t="str">
        <f ca="1">IFERROR(INDIRECT(Table_NamedRanges[[#This Row],[Named Range Paste]]),"Undefined/Error")</f>
        <v>Hierarchy</v>
      </c>
      <c r="E82" s="18" t="str">
        <f>Table_NamedRanges[[#This Row],[Reference Paste]]</f>
        <v>=Table_ErrorList[#Headers]</v>
      </c>
      <c r="F82" s="18" t="b">
        <f ca="1">ISERROR(VLOOKUP(Table_NamedRanges[[#This Row],[Named Range Paste]],OFFSET(INDEX(Table_ErrorList[],1,1),0,MATCH(Table_ErrorList[[#Headers],[Attention To Named Range]],Table_ErrorList[#Headers],0)-1,ROWS(Table_ErrorList[]),1),1,FALSE))=FALSE</f>
        <v>0</v>
      </c>
      <c r="G82" s="20" t="b">
        <f>MID(Table_NamedRanges[[#This Row],[Reference Text]],2,1)="'"</f>
        <v>0</v>
      </c>
      <c r="H82" s="20">
        <f>(LEN(Table_NamedRanges[[#This Row],[Reference Text]])-LEN(SUBSTITUTE(Table_NamedRanges[[#This Row],[Reference Text]],":","")))/LEN(":")</f>
        <v>0</v>
      </c>
      <c r="I82" s="20" t="b">
        <f>OR(ISERROR(FIND("[",Table_NamedRanges[[#This Row],[Reference Text]],1))=FALSE,ISERROR(FIND("]",Table_NamedRanges[[#This Row],[Reference Text]],1))=FALSE)</f>
        <v>1</v>
      </c>
      <c r="J82" s="20">
        <f>(LEN(Table_NamedRanges[[#This Row],[Reference Text]])-LEN(SUBSTITUTE(Table_NamedRanges[[#This Row],[Reference Text]],",","")))/LEN(",")</f>
        <v>0</v>
      </c>
      <c r="K82" s="20" t="str">
        <f>IF(Table_NamedRanges[[#This Row],[Starts with '']]=FALSE,"Other",IF(AND(Table_NamedRanges[[#This Row],[Count of Colon ":"]]=0,Table_NamedRanges[[#This Row],[Count of ","]]=0),"Single Cell",IF(Table_NamedRanges[[#This Row],[Count of Colon ":"]]=1,"Single Range", "Multiple (Cell or Range)")))</f>
        <v>Other</v>
      </c>
    </row>
    <row r="83" spans="2:11" ht="30" x14ac:dyDescent="0.25">
      <c r="B83" s="6" t="s">
        <v>1268</v>
      </c>
      <c r="C83" s="8" t="s">
        <v>1269</v>
      </c>
      <c r="D83" s="18" t="str">
        <f ca="1">IFERROR(INDIRECT(Table_NamedRanges[[#This Row],[Named Range Paste]]),"Undefined/Error")</f>
        <v>Undefined/Error</v>
      </c>
      <c r="E83" s="18" t="str">
        <f>Table_NamedRanges[[#This Row],[Reference Paste]]</f>
        <v>=MATCH('Kilometer Matrix (Appendix F)'!$B$3,Table_KMMatrix[Community],0)-1</v>
      </c>
      <c r="F83" s="18" t="b">
        <f ca="1">ISERROR(VLOOKUP(Table_NamedRanges[[#This Row],[Named Range Paste]],OFFSET(INDEX(Table_ErrorList[],1,1),0,MATCH(Table_ErrorList[[#Headers],[Attention To Named Range]],Table_ErrorList[#Headers],0)-1,ROWS(Table_ErrorList[]),1),1,FALSE))=FALSE</f>
        <v>0</v>
      </c>
      <c r="G83" s="20" t="b">
        <f>MID(Table_NamedRanges[[#This Row],[Reference Text]],2,1)="'"</f>
        <v>0</v>
      </c>
      <c r="H83" s="20">
        <f>(LEN(Table_NamedRanges[[#This Row],[Reference Text]])-LEN(SUBSTITUTE(Table_NamedRanges[[#This Row],[Reference Text]],":","")))/LEN(":")</f>
        <v>0</v>
      </c>
      <c r="I83" s="20" t="b">
        <f>OR(ISERROR(FIND("[",Table_NamedRanges[[#This Row],[Reference Text]],1))=FALSE,ISERROR(FIND("]",Table_NamedRanges[[#This Row],[Reference Text]],1))=FALSE)</f>
        <v>1</v>
      </c>
      <c r="J83" s="20">
        <f>(LEN(Table_NamedRanges[[#This Row],[Reference Text]])-LEN(SUBSTITUTE(Table_NamedRanges[[#This Row],[Reference Text]],",","")))/LEN(",")</f>
        <v>2</v>
      </c>
      <c r="K83" s="20" t="str">
        <f>IF(Table_NamedRanges[[#This Row],[Starts with '']]=FALSE,"Other",IF(AND(Table_NamedRanges[[#This Row],[Count of Colon ":"]]=0,Table_NamedRanges[[#This Row],[Count of ","]]=0),"Single Cell",IF(Table_NamedRanges[[#This Row],[Count of Colon ":"]]=1,"Single Range", "Multiple (Cell or Range)")))</f>
        <v>Other</v>
      </c>
    </row>
    <row r="84" spans="2:11" ht="105" x14ac:dyDescent="0.25">
      <c r="B84" s="6" t="s">
        <v>1270</v>
      </c>
      <c r="C84" s="8" t="s">
        <v>1271</v>
      </c>
      <c r="D84" s="18" t="str">
        <f ca="1">IFERROR(INDIRECT(Table_NamedRanges[[#This Row],[Named Range Paste]]),"Undefined/Error")</f>
        <v>Undefined/Error</v>
      </c>
      <c r="E84" s="18" t="str">
        <f>Table_NamedRanges[[#This Row],[Reference Paste]]</f>
        <v xml:space="preserve">=CELL("address",'Kilometer Matrix (Appendix F)'!XEW75) "address" OFFSET(INDEX(Table_KMMatrix,1,1),MATCH('Kilometer Matrix (Appendix F)'!$B$3,Table_KMMatrix[Community],0)-1,MATCH('Kilometer Matrix (Appendix F)'!$D$3,Table_KMMatrix[#Headers],0)-1,1,1) </v>
      </c>
      <c r="F84" s="18" t="b">
        <f ca="1">ISERROR(VLOOKUP(Table_NamedRanges[[#This Row],[Named Range Paste]],OFFSET(INDEX(Table_ErrorList[],1,1),0,MATCH(Table_ErrorList[[#Headers],[Attention To Named Range]],Table_ErrorList[#Headers],0)-1,ROWS(Table_ErrorList[]),1),1,FALSE))=FALSE</f>
        <v>0</v>
      </c>
      <c r="G84" s="20" t="b">
        <f>MID(Table_NamedRanges[[#This Row],[Reference Text]],2,1)="'"</f>
        <v>0</v>
      </c>
      <c r="H84" s="20">
        <f>(LEN(Table_NamedRanges[[#This Row],[Reference Text]])-LEN(SUBSTITUTE(Table_NamedRanges[[#This Row],[Reference Text]],":","")))/LEN(":")</f>
        <v>0</v>
      </c>
      <c r="I84" s="20" t="b">
        <f>OR(ISERROR(FIND("[",Table_NamedRanges[[#This Row],[Reference Text]],1))=FALSE,ISERROR(FIND("]",Table_NamedRanges[[#This Row],[Reference Text]],1))=FALSE)</f>
        <v>1</v>
      </c>
      <c r="J84" s="20">
        <f>(LEN(Table_NamedRanges[[#This Row],[Reference Text]])-LEN(SUBSTITUTE(Table_NamedRanges[[#This Row],[Reference Text]],",","")))/LEN(",")</f>
        <v>11</v>
      </c>
      <c r="K84" s="20" t="str">
        <f>IF(Table_NamedRanges[[#This Row],[Starts with '']]=FALSE,"Other",IF(AND(Table_NamedRanges[[#This Row],[Count of Colon ":"]]=0,Table_NamedRanges[[#This Row],[Count of ","]]=0),"Single Cell",IF(Table_NamedRanges[[#This Row],[Count of Colon ":"]]=1,"Single Range", "Multiple (Cell or Range)")))</f>
        <v>Other</v>
      </c>
    </row>
    <row r="85" spans="2:11" ht="30" x14ac:dyDescent="0.25">
      <c r="B85" s="6" t="s">
        <v>1272</v>
      </c>
      <c r="C85" s="8" t="s">
        <v>1273</v>
      </c>
      <c r="D85" s="18" t="str">
        <f ca="1">IFERROR(INDIRECT(Table_NamedRanges[[#This Row],[Named Range Paste]]),"Undefined/Error")</f>
        <v>Undefined/Error</v>
      </c>
      <c r="E85" s="18" t="str">
        <f>Table_NamedRanges[[#This Row],[Reference Paste]]</f>
        <v>=MATCH('Kilometer Matrix (Appendix F)'!$D$3,Table_KMMatrix[#Headers],0)-1</v>
      </c>
      <c r="F85" s="18" t="b">
        <f ca="1">ISERROR(VLOOKUP(Table_NamedRanges[[#This Row],[Named Range Paste]],OFFSET(INDEX(Table_ErrorList[],1,1),0,MATCH(Table_ErrorList[[#Headers],[Attention To Named Range]],Table_ErrorList[#Headers],0)-1,ROWS(Table_ErrorList[]),1),1,FALSE))=FALSE</f>
        <v>0</v>
      </c>
      <c r="G85" s="20" t="b">
        <f>MID(Table_NamedRanges[[#This Row],[Reference Text]],2,1)="'"</f>
        <v>0</v>
      </c>
      <c r="H85" s="20">
        <f>(LEN(Table_NamedRanges[[#This Row],[Reference Text]])-LEN(SUBSTITUTE(Table_NamedRanges[[#This Row],[Reference Text]],":","")))/LEN(":")</f>
        <v>0</v>
      </c>
      <c r="I85" s="20" t="b">
        <f>OR(ISERROR(FIND("[",Table_NamedRanges[[#This Row],[Reference Text]],1))=FALSE,ISERROR(FIND("]",Table_NamedRanges[[#This Row],[Reference Text]],1))=FALSE)</f>
        <v>1</v>
      </c>
      <c r="J85" s="20">
        <f>(LEN(Table_NamedRanges[[#This Row],[Reference Text]])-LEN(SUBSTITUTE(Table_NamedRanges[[#This Row],[Reference Text]],",","")))/LEN(",")</f>
        <v>2</v>
      </c>
      <c r="K85" s="20" t="str">
        <f>IF(Table_NamedRanges[[#This Row],[Starts with '']]=FALSE,"Other",IF(AND(Table_NamedRanges[[#This Row],[Count of Colon ":"]]=0,Table_NamedRanges[[#This Row],[Count of ","]]=0),"Single Cell",IF(Table_NamedRanges[[#This Row],[Count of Colon ":"]]=1,"Single Range", "Multiple (Cell or Range)")))</f>
        <v>Other</v>
      </c>
    </row>
    <row r="86" spans="2:11" x14ac:dyDescent="0.25">
      <c r="B86" s="6" t="s">
        <v>1274</v>
      </c>
      <c r="C86" s="8" t="s">
        <v>1275</v>
      </c>
      <c r="D86" s="18" t="str">
        <f ca="1">IFERROR(INDIRECT(Table_NamedRanges[[#This Row],[Named Range Paste]]),"Undefined/Error")</f>
        <v>Undefined/Error</v>
      </c>
      <c r="E86" s="18" t="str">
        <f>Table_NamedRanges[[#This Row],[Reference Paste]]</f>
        <v>=INDEX(Table_KMMatrix,1,1)</v>
      </c>
      <c r="F86" s="18" t="b">
        <f ca="1">ISERROR(VLOOKUP(Table_NamedRanges[[#This Row],[Named Range Paste]],OFFSET(INDEX(Table_ErrorList[],1,1),0,MATCH(Table_ErrorList[[#Headers],[Attention To Named Range]],Table_ErrorList[#Headers],0)-1,ROWS(Table_ErrorList[]),1),1,FALSE))=FALSE</f>
        <v>0</v>
      </c>
      <c r="G86" s="20" t="b">
        <f>MID(Table_NamedRanges[[#This Row],[Reference Text]],2,1)="'"</f>
        <v>0</v>
      </c>
      <c r="H86" s="20">
        <f>(LEN(Table_NamedRanges[[#This Row],[Reference Text]])-LEN(SUBSTITUTE(Table_NamedRanges[[#This Row],[Reference Text]],":","")))/LEN(":")</f>
        <v>0</v>
      </c>
      <c r="I86" s="20" t="b">
        <f>OR(ISERROR(FIND("[",Table_NamedRanges[[#This Row],[Reference Text]],1))=FALSE,ISERROR(FIND("]",Table_NamedRanges[[#This Row],[Reference Text]],1))=FALSE)</f>
        <v>0</v>
      </c>
      <c r="J86" s="20">
        <f>(LEN(Table_NamedRanges[[#This Row],[Reference Text]])-LEN(SUBSTITUTE(Table_NamedRanges[[#This Row],[Reference Text]],",","")))/LEN(",")</f>
        <v>2</v>
      </c>
      <c r="K86" s="20" t="str">
        <f>IF(Table_NamedRanges[[#This Row],[Starts with '']]=FALSE,"Other",IF(AND(Table_NamedRanges[[#This Row],[Count of Colon ":"]]=0,Table_NamedRanges[[#This Row],[Count of ","]]=0),"Single Cell",IF(Table_NamedRanges[[#This Row],[Count of Colon ":"]]=1,"Single Range", "Multiple (Cell or Range)")))</f>
        <v>Other</v>
      </c>
    </row>
    <row r="87" spans="2:11" x14ac:dyDescent="0.25">
      <c r="B87" s="6" t="s">
        <v>1085</v>
      </c>
      <c r="C87" s="8" t="s">
        <v>1086</v>
      </c>
      <c r="D87" s="18" t="str">
        <f ca="1">IFERROR(INDIRECT(Table_NamedRanges[[#This Row],[Named Range Paste]]),"Undefined/Error")</f>
        <v>Undefined/Error</v>
      </c>
      <c r="E87" s="18" t="str">
        <f>Table_NamedRanges[[#This Row],[Reference Paste]]</f>
        <v>=Table_ClaimStatus[Calculation]</v>
      </c>
      <c r="F87" s="18" t="b">
        <f ca="1">ISERROR(VLOOKUP(Table_NamedRanges[[#This Row],[Named Range Paste]],OFFSET(INDEX(Table_ErrorList[],1,1),0,MATCH(Table_ErrorList[[#Headers],[Attention To Named Range]],Table_ErrorList[#Headers],0)-1,ROWS(Table_ErrorList[]),1),1,FALSE))=FALSE</f>
        <v>0</v>
      </c>
      <c r="G87" s="20" t="b">
        <f>MID(Table_NamedRanges[[#This Row],[Reference Text]],2,1)="'"</f>
        <v>0</v>
      </c>
      <c r="H87" s="20">
        <f>(LEN(Table_NamedRanges[[#This Row],[Reference Text]])-LEN(SUBSTITUTE(Table_NamedRanges[[#This Row],[Reference Text]],":","")))/LEN(":")</f>
        <v>0</v>
      </c>
      <c r="I87" s="20" t="b">
        <f>OR(ISERROR(FIND("[",Table_NamedRanges[[#This Row],[Reference Text]],1))=FALSE,ISERROR(FIND("]",Table_NamedRanges[[#This Row],[Reference Text]],1))=FALSE)</f>
        <v>1</v>
      </c>
      <c r="J87" s="20">
        <f>(LEN(Table_NamedRanges[[#This Row],[Reference Text]])-LEN(SUBSTITUTE(Table_NamedRanges[[#This Row],[Reference Text]],",","")))/LEN(",")</f>
        <v>0</v>
      </c>
      <c r="K87" s="20" t="str">
        <f>IF(Table_NamedRanges[[#This Row],[Starts with '']]=FALSE,"Other",IF(AND(Table_NamedRanges[[#This Row],[Count of Colon ":"]]=0,Table_NamedRanges[[#This Row],[Count of ","]]=0),"Single Cell",IF(Table_NamedRanges[[#This Row],[Count of Colon ":"]]=1,"Single Range", "Multiple (Cell or Range)")))</f>
        <v>Other</v>
      </c>
    </row>
    <row r="88" spans="2:11" x14ac:dyDescent="0.25">
      <c r="B88" s="6" t="s">
        <v>1087</v>
      </c>
      <c r="C88" s="8" t="s">
        <v>1088</v>
      </c>
      <c r="D88" s="18" t="str">
        <f ca="1">IFERROR(INDIRECT(Table_NamedRanges[[#This Row],[Named Range Paste]]),"Undefined/Error")</f>
        <v>Undefined/Error</v>
      </c>
      <c r="E88" s="18" t="str">
        <f>Table_NamedRanges[[#This Row],[Reference Paste]]</f>
        <v>=Table_ClaimStatus[COLOUR ON]</v>
      </c>
      <c r="F88" s="18" t="b">
        <f ca="1">ISERROR(VLOOKUP(Table_NamedRanges[[#This Row],[Named Range Paste]],OFFSET(INDEX(Table_ErrorList[],1,1),0,MATCH(Table_ErrorList[[#Headers],[Attention To Named Range]],Table_ErrorList[#Headers],0)-1,ROWS(Table_ErrorList[]),1),1,FALSE))=FALSE</f>
        <v>0</v>
      </c>
      <c r="G88" s="20" t="b">
        <f>MID(Table_NamedRanges[[#This Row],[Reference Text]],2,1)="'"</f>
        <v>0</v>
      </c>
      <c r="H88" s="20">
        <f>(LEN(Table_NamedRanges[[#This Row],[Reference Text]])-LEN(SUBSTITUTE(Table_NamedRanges[[#This Row],[Reference Text]],":","")))/LEN(":")</f>
        <v>0</v>
      </c>
      <c r="I88" s="20" t="b">
        <f>OR(ISERROR(FIND("[",Table_NamedRanges[[#This Row],[Reference Text]],1))=FALSE,ISERROR(FIND("]",Table_NamedRanges[[#This Row],[Reference Text]],1))=FALSE)</f>
        <v>1</v>
      </c>
      <c r="J88" s="20">
        <f>(LEN(Table_NamedRanges[[#This Row],[Reference Text]])-LEN(SUBSTITUTE(Table_NamedRanges[[#This Row],[Reference Text]],",","")))/LEN(",")</f>
        <v>0</v>
      </c>
      <c r="K88" s="20" t="str">
        <f>IF(Table_NamedRanges[[#This Row],[Starts with '']]=FALSE,"Other",IF(AND(Table_NamedRanges[[#This Row],[Count of Colon ":"]]=0,Table_NamedRanges[[#This Row],[Count of ","]]=0),"Single Cell",IF(Table_NamedRanges[[#This Row],[Count of Colon ":"]]=1,"Single Range", "Multiple (Cell or Range)")))</f>
        <v>Other</v>
      </c>
    </row>
    <row r="89" spans="2:11" x14ac:dyDescent="0.25">
      <c r="B89" s="6" t="s">
        <v>313</v>
      </c>
      <c r="C89" s="8" t="s">
        <v>428</v>
      </c>
      <c r="D89" s="18" t="str">
        <f ca="1">IFERROR(INDIRECT(Table_NamedRanges[[#This Row],[Named Range Paste]]),"Undefined/Error")</f>
        <v>Undefined/Error</v>
      </c>
      <c r="E89" s="18" t="str">
        <f>Table_NamedRanges[[#This Row],[Reference Paste]]</f>
        <v>='Travel Expense Summary'!$P$13:$P$22</v>
      </c>
      <c r="F89" s="18" t="b">
        <f ca="1">ISERROR(VLOOKUP(Table_NamedRanges[[#This Row],[Named Range Paste]],OFFSET(INDEX(Table_ErrorList[],1,1),0,MATCH(Table_ErrorList[[#Headers],[Attention To Named Range]],Table_ErrorList[#Headers],0)-1,ROWS(Table_ErrorList[]),1),1,FALSE))=FALSE</f>
        <v>0</v>
      </c>
      <c r="G89" s="20" t="b">
        <f>MID(Table_NamedRanges[[#This Row],[Reference Text]],2,1)="'"</f>
        <v>1</v>
      </c>
      <c r="H89" s="20">
        <f>(LEN(Table_NamedRanges[[#This Row],[Reference Text]])-LEN(SUBSTITUTE(Table_NamedRanges[[#This Row],[Reference Text]],":","")))/LEN(":")</f>
        <v>1</v>
      </c>
      <c r="I89" s="20" t="b">
        <f>OR(ISERROR(FIND("[",Table_NamedRanges[[#This Row],[Reference Text]],1))=FALSE,ISERROR(FIND("]",Table_NamedRanges[[#This Row],[Reference Text]],1))=FALSE)</f>
        <v>0</v>
      </c>
      <c r="J89" s="20">
        <f>(LEN(Table_NamedRanges[[#This Row],[Reference Text]])-LEN(SUBSTITUTE(Table_NamedRanges[[#This Row],[Reference Text]],",","")))/LEN(",")</f>
        <v>0</v>
      </c>
      <c r="K89" s="20" t="str">
        <f>IF(Table_NamedRanges[[#This Row],[Starts with '']]=FALSE,"Other",IF(AND(Table_NamedRanges[[#This Row],[Count of Colon ":"]]=0,Table_NamedRanges[[#This Row],[Count of ","]]=0),"Single Cell",IF(Table_NamedRanges[[#This Row],[Count of Colon ":"]]=1,"Single Range", "Multiple (Cell or Range)")))</f>
        <v>Single Range</v>
      </c>
    </row>
    <row r="90" spans="2:11" x14ac:dyDescent="0.25">
      <c r="B90" s="6" t="s">
        <v>219</v>
      </c>
      <c r="C90" s="8" t="s">
        <v>229</v>
      </c>
      <c r="D90" s="18">
        <f ca="1">IFERROR(INDIRECT(Table_NamedRanges[[#This Row],[Named Range Paste]]),"Undefined/Error")</f>
        <v>16</v>
      </c>
      <c r="E90" s="18" t="str">
        <f>Table_NamedRanges[[#This Row],[Reference Paste]]</f>
        <v>='Meal Validation'!$D$10</v>
      </c>
      <c r="F90" s="18" t="b">
        <f ca="1">ISERROR(VLOOKUP(Table_NamedRanges[[#This Row],[Named Range Paste]],OFFSET(INDEX(Table_ErrorList[],1,1),0,MATCH(Table_ErrorList[[#Headers],[Attention To Named Range]],Table_ErrorList[#Headers],0)-1,ROWS(Table_ErrorList[]),1),1,FALSE))=FALSE</f>
        <v>0</v>
      </c>
      <c r="G90" s="20" t="b">
        <f>MID(Table_NamedRanges[[#This Row],[Reference Text]],2,1)="'"</f>
        <v>1</v>
      </c>
      <c r="H90" s="20">
        <f>(LEN(Table_NamedRanges[[#This Row],[Reference Text]])-LEN(SUBSTITUTE(Table_NamedRanges[[#This Row],[Reference Text]],":","")))/LEN(":")</f>
        <v>0</v>
      </c>
      <c r="I90" s="20" t="b">
        <f>OR(ISERROR(FIND("[",Table_NamedRanges[[#This Row],[Reference Text]],1))=FALSE,ISERROR(FIND("]",Table_NamedRanges[[#This Row],[Reference Text]],1))=FALSE)</f>
        <v>0</v>
      </c>
      <c r="J90" s="20">
        <f>(LEN(Table_NamedRanges[[#This Row],[Reference Text]])-LEN(SUBSTITUTE(Table_NamedRanges[[#This Row],[Reference Text]],",","")))/LEN(",")</f>
        <v>0</v>
      </c>
      <c r="K90" s="20" t="str">
        <f>IF(Table_NamedRanges[[#This Row],[Starts with '']]=FALSE,"Other",IF(AND(Table_NamedRanges[[#This Row],[Count of Colon ":"]]=0,Table_NamedRanges[[#This Row],[Count of ","]]=0),"Single Cell",IF(Table_NamedRanges[[#This Row],[Count of Colon ":"]]=1,"Single Range", "Multiple (Cell or Range)")))</f>
        <v>Single Cell</v>
      </c>
    </row>
    <row r="91" spans="2:11" x14ac:dyDescent="0.25">
      <c r="B91" s="6" t="s">
        <v>221</v>
      </c>
      <c r="C91" s="8" t="s">
        <v>230</v>
      </c>
      <c r="D91" s="18">
        <f ca="1">IFERROR(INDIRECT(Table_NamedRanges[[#This Row],[Named Range Paste]]),"Undefined/Error")</f>
        <v>42</v>
      </c>
      <c r="E91" s="18" t="str">
        <f>Table_NamedRanges[[#This Row],[Reference Paste]]</f>
        <v>='Meal Validation'!$D$12</v>
      </c>
      <c r="F91" s="18" t="b">
        <f ca="1">ISERROR(VLOOKUP(Table_NamedRanges[[#This Row],[Named Range Paste]],OFFSET(INDEX(Table_ErrorList[],1,1),0,MATCH(Table_ErrorList[[#Headers],[Attention To Named Range]],Table_ErrorList[#Headers],0)-1,ROWS(Table_ErrorList[]),1),1,FALSE))=FALSE</f>
        <v>0</v>
      </c>
      <c r="G91" s="20" t="b">
        <f>MID(Table_NamedRanges[[#This Row],[Reference Text]],2,1)="'"</f>
        <v>1</v>
      </c>
      <c r="H91" s="20">
        <f>(LEN(Table_NamedRanges[[#This Row],[Reference Text]])-LEN(SUBSTITUTE(Table_NamedRanges[[#This Row],[Reference Text]],":","")))/LEN(":")</f>
        <v>0</v>
      </c>
      <c r="I91" s="20" t="b">
        <f>OR(ISERROR(FIND("[",Table_NamedRanges[[#This Row],[Reference Text]],1))=FALSE,ISERROR(FIND("]",Table_NamedRanges[[#This Row],[Reference Text]],1))=FALSE)</f>
        <v>0</v>
      </c>
      <c r="J91" s="20">
        <f>(LEN(Table_NamedRanges[[#This Row],[Reference Text]])-LEN(SUBSTITUTE(Table_NamedRanges[[#This Row],[Reference Text]],",","")))/LEN(",")</f>
        <v>0</v>
      </c>
      <c r="K91" s="20" t="str">
        <f>IF(Table_NamedRanges[[#This Row],[Starts with '']]=FALSE,"Other",IF(AND(Table_NamedRanges[[#This Row],[Count of Colon ":"]]=0,Table_NamedRanges[[#This Row],[Count of ","]]=0),"Single Cell",IF(Table_NamedRanges[[#This Row],[Count of Colon ":"]]=1,"Single Range", "Multiple (Cell or Range)")))</f>
        <v>Single Cell</v>
      </c>
    </row>
    <row r="92" spans="2:11" x14ac:dyDescent="0.25">
      <c r="B92" s="6" t="s">
        <v>220</v>
      </c>
      <c r="C92" s="8" t="s">
        <v>231</v>
      </c>
      <c r="D92" s="18">
        <f ca="1">IFERROR(INDIRECT(Table_NamedRanges[[#This Row],[Named Range Paste]]),"Undefined/Error")</f>
        <v>17</v>
      </c>
      <c r="E92" s="18" t="str">
        <f>Table_NamedRanges[[#This Row],[Reference Paste]]</f>
        <v>='Meal Validation'!$D$11</v>
      </c>
      <c r="F92" s="18" t="b">
        <f ca="1">ISERROR(VLOOKUP(Table_NamedRanges[[#This Row],[Named Range Paste]],OFFSET(INDEX(Table_ErrorList[],1,1),0,MATCH(Table_ErrorList[[#Headers],[Attention To Named Range]],Table_ErrorList[#Headers],0)-1,ROWS(Table_ErrorList[]),1),1,FALSE))=FALSE</f>
        <v>0</v>
      </c>
      <c r="G92" s="20" t="b">
        <f>MID(Table_NamedRanges[[#This Row],[Reference Text]],2,1)="'"</f>
        <v>1</v>
      </c>
      <c r="H92" s="20">
        <f>(LEN(Table_NamedRanges[[#This Row],[Reference Text]])-LEN(SUBSTITUTE(Table_NamedRanges[[#This Row],[Reference Text]],":","")))/LEN(":")</f>
        <v>0</v>
      </c>
      <c r="I92" s="20" t="b">
        <f>OR(ISERROR(FIND("[",Table_NamedRanges[[#This Row],[Reference Text]],1))=FALSE,ISERROR(FIND("]",Table_NamedRanges[[#This Row],[Reference Text]],1))=FALSE)</f>
        <v>0</v>
      </c>
      <c r="J92" s="20">
        <f>(LEN(Table_NamedRanges[[#This Row],[Reference Text]])-LEN(SUBSTITUTE(Table_NamedRanges[[#This Row],[Reference Text]],",","")))/LEN(",")</f>
        <v>0</v>
      </c>
      <c r="K92" s="20" t="str">
        <f>IF(Table_NamedRanges[[#This Row],[Starts with '']]=FALSE,"Other",IF(AND(Table_NamedRanges[[#This Row],[Count of Colon ":"]]=0,Table_NamedRanges[[#This Row],[Count of ","]]=0),"Single Cell",IF(Table_NamedRanges[[#This Row],[Count of Colon ":"]]=1,"Single Range", "Multiple (Cell or Range)")))</f>
        <v>Single Cell</v>
      </c>
    </row>
    <row r="93" spans="2:11" x14ac:dyDescent="0.25">
      <c r="B93" s="6" t="s">
        <v>262</v>
      </c>
      <c r="C93" s="8" t="s">
        <v>429</v>
      </c>
      <c r="D93" s="18">
        <f ca="1">IFERROR(INDIRECT(Table_NamedRanges[[#This Row],[Named Range Paste]]),"Undefined/Error")</f>
        <v>0</v>
      </c>
      <c r="E93" s="18" t="str">
        <f>Table_NamedRanges[[#This Row],[Reference Paste]]</f>
        <v>='Travel Expense Summary'!$P$13</v>
      </c>
      <c r="F93" s="18" t="b">
        <f ca="1">ISERROR(VLOOKUP(Table_NamedRanges[[#This Row],[Named Range Paste]],OFFSET(INDEX(Table_ErrorList[],1,1),0,MATCH(Table_ErrorList[[#Headers],[Attention To Named Range]],Table_ErrorList[#Headers],0)-1,ROWS(Table_ErrorList[]),1),1,FALSE))=FALSE</f>
        <v>1</v>
      </c>
      <c r="G93" s="20" t="b">
        <f>MID(Table_NamedRanges[[#This Row],[Reference Text]],2,1)="'"</f>
        <v>1</v>
      </c>
      <c r="H93" s="20">
        <f>(LEN(Table_NamedRanges[[#This Row],[Reference Text]])-LEN(SUBSTITUTE(Table_NamedRanges[[#This Row],[Reference Text]],":","")))/LEN(":")</f>
        <v>0</v>
      </c>
      <c r="I93" s="20" t="b">
        <f>OR(ISERROR(FIND("[",Table_NamedRanges[[#This Row],[Reference Text]],1))=FALSE,ISERROR(FIND("]",Table_NamedRanges[[#This Row],[Reference Text]],1))=FALSE)</f>
        <v>0</v>
      </c>
      <c r="J93" s="20">
        <f>(LEN(Table_NamedRanges[[#This Row],[Reference Text]])-LEN(SUBSTITUTE(Table_NamedRanges[[#This Row],[Reference Text]],",","")))/LEN(",")</f>
        <v>0</v>
      </c>
      <c r="K93" s="20" t="str">
        <f>IF(Table_NamedRanges[[#This Row],[Starts with '']]=FALSE,"Other",IF(AND(Table_NamedRanges[[#This Row],[Count of Colon ":"]]=0,Table_NamedRanges[[#This Row],[Count of ","]]=0),"Single Cell",IF(Table_NamedRanges[[#This Row],[Count of Colon ":"]]=1,"Single Range", "Multiple (Cell or Range)")))</f>
        <v>Single Cell</v>
      </c>
    </row>
    <row r="94" spans="2:11" x14ac:dyDescent="0.25">
      <c r="B94" s="6" t="s">
        <v>263</v>
      </c>
      <c r="C94" s="8" t="s">
        <v>430</v>
      </c>
      <c r="D94" s="18">
        <f ca="1">IFERROR(INDIRECT(Table_NamedRanges[[#This Row],[Named Range Paste]]),"Undefined/Error")</f>
        <v>0</v>
      </c>
      <c r="E94" s="18" t="str">
        <f>Table_NamedRanges[[#This Row],[Reference Paste]]</f>
        <v>='Travel Expense Summary'!$P$14</v>
      </c>
      <c r="F94" s="18" t="b">
        <f ca="1">ISERROR(VLOOKUP(Table_NamedRanges[[#This Row],[Named Range Paste]],OFFSET(INDEX(Table_ErrorList[],1,1),0,MATCH(Table_ErrorList[[#Headers],[Attention To Named Range]],Table_ErrorList[#Headers],0)-1,ROWS(Table_ErrorList[]),1),1,FALSE))=FALSE</f>
        <v>1</v>
      </c>
      <c r="G94" s="20" t="b">
        <f>MID(Table_NamedRanges[[#This Row],[Reference Text]],2,1)="'"</f>
        <v>1</v>
      </c>
      <c r="H94" s="20">
        <f>(LEN(Table_NamedRanges[[#This Row],[Reference Text]])-LEN(SUBSTITUTE(Table_NamedRanges[[#This Row],[Reference Text]],":","")))/LEN(":")</f>
        <v>0</v>
      </c>
      <c r="I94" s="20" t="b">
        <f>OR(ISERROR(FIND("[",Table_NamedRanges[[#This Row],[Reference Text]],1))=FALSE,ISERROR(FIND("]",Table_NamedRanges[[#This Row],[Reference Text]],1))=FALSE)</f>
        <v>0</v>
      </c>
      <c r="J94" s="20">
        <f>(LEN(Table_NamedRanges[[#This Row],[Reference Text]])-LEN(SUBSTITUTE(Table_NamedRanges[[#This Row],[Reference Text]],",","")))/LEN(",")</f>
        <v>0</v>
      </c>
      <c r="K94" s="20" t="str">
        <f>IF(Table_NamedRanges[[#This Row],[Starts with '']]=FALSE,"Other",IF(AND(Table_NamedRanges[[#This Row],[Count of Colon ":"]]=0,Table_NamedRanges[[#This Row],[Count of ","]]=0),"Single Cell",IF(Table_NamedRanges[[#This Row],[Count of Colon ":"]]=1,"Single Range", "Multiple (Cell or Range)")))</f>
        <v>Single Cell</v>
      </c>
    </row>
    <row r="95" spans="2:11" x14ac:dyDescent="0.25">
      <c r="B95" s="6" t="s">
        <v>264</v>
      </c>
      <c r="C95" s="8" t="s">
        <v>431</v>
      </c>
      <c r="D95" s="18">
        <f ca="1">IFERROR(INDIRECT(Table_NamedRanges[[#This Row],[Named Range Paste]]),"Undefined/Error")</f>
        <v>0</v>
      </c>
      <c r="E95" s="18" t="str">
        <f>Table_NamedRanges[[#This Row],[Reference Paste]]</f>
        <v>='Travel Expense Summary'!$P$15</v>
      </c>
      <c r="F95" s="18" t="b">
        <f ca="1">ISERROR(VLOOKUP(Table_NamedRanges[[#This Row],[Named Range Paste]],OFFSET(INDEX(Table_ErrorList[],1,1),0,MATCH(Table_ErrorList[[#Headers],[Attention To Named Range]],Table_ErrorList[#Headers],0)-1,ROWS(Table_ErrorList[]),1),1,FALSE))=FALSE</f>
        <v>1</v>
      </c>
      <c r="G95" s="20" t="b">
        <f>MID(Table_NamedRanges[[#This Row],[Reference Text]],2,1)="'"</f>
        <v>1</v>
      </c>
      <c r="H95" s="20">
        <f>(LEN(Table_NamedRanges[[#This Row],[Reference Text]])-LEN(SUBSTITUTE(Table_NamedRanges[[#This Row],[Reference Text]],":","")))/LEN(":")</f>
        <v>0</v>
      </c>
      <c r="I95" s="20" t="b">
        <f>OR(ISERROR(FIND("[",Table_NamedRanges[[#This Row],[Reference Text]],1))=FALSE,ISERROR(FIND("]",Table_NamedRanges[[#This Row],[Reference Text]],1))=FALSE)</f>
        <v>0</v>
      </c>
      <c r="J95" s="20">
        <f>(LEN(Table_NamedRanges[[#This Row],[Reference Text]])-LEN(SUBSTITUTE(Table_NamedRanges[[#This Row],[Reference Text]],",","")))/LEN(",")</f>
        <v>0</v>
      </c>
      <c r="K95" s="20" t="str">
        <f>IF(Table_NamedRanges[[#This Row],[Starts with '']]=FALSE,"Other",IF(AND(Table_NamedRanges[[#This Row],[Count of Colon ":"]]=0,Table_NamedRanges[[#This Row],[Count of ","]]=0),"Single Cell",IF(Table_NamedRanges[[#This Row],[Count of Colon ":"]]=1,"Single Range", "Multiple (Cell or Range)")))</f>
        <v>Single Cell</v>
      </c>
    </row>
    <row r="96" spans="2:11" x14ac:dyDescent="0.25">
      <c r="B96" s="6" t="s">
        <v>265</v>
      </c>
      <c r="C96" s="8" t="s">
        <v>432</v>
      </c>
      <c r="D96" s="18">
        <f ca="1">IFERROR(INDIRECT(Table_NamedRanges[[#This Row],[Named Range Paste]]),"Undefined/Error")</f>
        <v>0</v>
      </c>
      <c r="E96" s="18" t="str">
        <f>Table_NamedRanges[[#This Row],[Reference Paste]]</f>
        <v>='Travel Expense Summary'!$P$16</v>
      </c>
      <c r="F96" s="18" t="b">
        <f ca="1">ISERROR(VLOOKUP(Table_NamedRanges[[#This Row],[Named Range Paste]],OFFSET(INDEX(Table_ErrorList[],1,1),0,MATCH(Table_ErrorList[[#Headers],[Attention To Named Range]],Table_ErrorList[#Headers],0)-1,ROWS(Table_ErrorList[]),1),1,FALSE))=FALSE</f>
        <v>1</v>
      </c>
      <c r="G96" s="20" t="b">
        <f>MID(Table_NamedRanges[[#This Row],[Reference Text]],2,1)="'"</f>
        <v>1</v>
      </c>
      <c r="H96" s="20">
        <f>(LEN(Table_NamedRanges[[#This Row],[Reference Text]])-LEN(SUBSTITUTE(Table_NamedRanges[[#This Row],[Reference Text]],":","")))/LEN(":")</f>
        <v>0</v>
      </c>
      <c r="I96" s="20" t="b">
        <f>OR(ISERROR(FIND("[",Table_NamedRanges[[#This Row],[Reference Text]],1))=FALSE,ISERROR(FIND("]",Table_NamedRanges[[#This Row],[Reference Text]],1))=FALSE)</f>
        <v>0</v>
      </c>
      <c r="J96" s="20">
        <f>(LEN(Table_NamedRanges[[#This Row],[Reference Text]])-LEN(SUBSTITUTE(Table_NamedRanges[[#This Row],[Reference Text]],",","")))/LEN(",")</f>
        <v>0</v>
      </c>
      <c r="K96" s="20" t="str">
        <f>IF(Table_NamedRanges[[#This Row],[Starts with '']]=FALSE,"Other",IF(AND(Table_NamedRanges[[#This Row],[Count of Colon ":"]]=0,Table_NamedRanges[[#This Row],[Count of ","]]=0),"Single Cell",IF(Table_NamedRanges[[#This Row],[Count of Colon ":"]]=1,"Single Range", "Multiple (Cell or Range)")))</f>
        <v>Single Cell</v>
      </c>
    </row>
    <row r="97" spans="2:11" x14ac:dyDescent="0.25">
      <c r="B97" s="6" t="s">
        <v>266</v>
      </c>
      <c r="C97" s="8" t="s">
        <v>433</v>
      </c>
      <c r="D97" s="18">
        <f ca="1">IFERROR(INDIRECT(Table_NamedRanges[[#This Row],[Named Range Paste]]),"Undefined/Error")</f>
        <v>0</v>
      </c>
      <c r="E97" s="18" t="str">
        <f>Table_NamedRanges[[#This Row],[Reference Paste]]</f>
        <v>='Travel Expense Summary'!$P$17</v>
      </c>
      <c r="F97" s="18" t="b">
        <f ca="1">ISERROR(VLOOKUP(Table_NamedRanges[[#This Row],[Named Range Paste]],OFFSET(INDEX(Table_ErrorList[],1,1),0,MATCH(Table_ErrorList[[#Headers],[Attention To Named Range]],Table_ErrorList[#Headers],0)-1,ROWS(Table_ErrorList[]),1),1,FALSE))=FALSE</f>
        <v>1</v>
      </c>
      <c r="G97" s="20" t="b">
        <f>MID(Table_NamedRanges[[#This Row],[Reference Text]],2,1)="'"</f>
        <v>1</v>
      </c>
      <c r="H97" s="20">
        <f>(LEN(Table_NamedRanges[[#This Row],[Reference Text]])-LEN(SUBSTITUTE(Table_NamedRanges[[#This Row],[Reference Text]],":","")))/LEN(":")</f>
        <v>0</v>
      </c>
      <c r="I97" s="20" t="b">
        <f>OR(ISERROR(FIND("[",Table_NamedRanges[[#This Row],[Reference Text]],1))=FALSE,ISERROR(FIND("]",Table_NamedRanges[[#This Row],[Reference Text]],1))=FALSE)</f>
        <v>0</v>
      </c>
      <c r="J97" s="20">
        <f>(LEN(Table_NamedRanges[[#This Row],[Reference Text]])-LEN(SUBSTITUTE(Table_NamedRanges[[#This Row],[Reference Text]],",","")))/LEN(",")</f>
        <v>0</v>
      </c>
      <c r="K97" s="20" t="str">
        <f>IF(Table_NamedRanges[[#This Row],[Starts with '']]=FALSE,"Other",IF(AND(Table_NamedRanges[[#This Row],[Count of Colon ":"]]=0,Table_NamedRanges[[#This Row],[Count of ","]]=0),"Single Cell",IF(Table_NamedRanges[[#This Row],[Count of Colon ":"]]=1,"Single Range", "Multiple (Cell or Range)")))</f>
        <v>Single Cell</v>
      </c>
    </row>
    <row r="98" spans="2:11" x14ac:dyDescent="0.25">
      <c r="B98" s="6" t="s">
        <v>267</v>
      </c>
      <c r="C98" s="8" t="s">
        <v>434</v>
      </c>
      <c r="D98" s="18">
        <f ca="1">IFERROR(INDIRECT(Table_NamedRanges[[#This Row],[Named Range Paste]]),"Undefined/Error")</f>
        <v>0</v>
      </c>
      <c r="E98" s="18" t="str">
        <f>Table_NamedRanges[[#This Row],[Reference Paste]]</f>
        <v>='Travel Expense Summary'!$P$18</v>
      </c>
      <c r="F98" s="18" t="b">
        <f ca="1">ISERROR(VLOOKUP(Table_NamedRanges[[#This Row],[Named Range Paste]],OFFSET(INDEX(Table_ErrorList[],1,1),0,MATCH(Table_ErrorList[[#Headers],[Attention To Named Range]],Table_ErrorList[#Headers],0)-1,ROWS(Table_ErrorList[]),1),1,FALSE))=FALSE</f>
        <v>1</v>
      </c>
      <c r="G98" s="20" t="b">
        <f>MID(Table_NamedRanges[[#This Row],[Reference Text]],2,1)="'"</f>
        <v>1</v>
      </c>
      <c r="H98" s="20">
        <f>(LEN(Table_NamedRanges[[#This Row],[Reference Text]])-LEN(SUBSTITUTE(Table_NamedRanges[[#This Row],[Reference Text]],":","")))/LEN(":")</f>
        <v>0</v>
      </c>
      <c r="I98" s="20" t="b">
        <f>OR(ISERROR(FIND("[",Table_NamedRanges[[#This Row],[Reference Text]],1))=FALSE,ISERROR(FIND("]",Table_NamedRanges[[#This Row],[Reference Text]],1))=FALSE)</f>
        <v>0</v>
      </c>
      <c r="J98" s="20">
        <f>(LEN(Table_NamedRanges[[#This Row],[Reference Text]])-LEN(SUBSTITUTE(Table_NamedRanges[[#This Row],[Reference Text]],",","")))/LEN(",")</f>
        <v>0</v>
      </c>
      <c r="K98" s="20" t="str">
        <f>IF(Table_NamedRanges[[#This Row],[Starts with '']]=FALSE,"Other",IF(AND(Table_NamedRanges[[#This Row],[Count of Colon ":"]]=0,Table_NamedRanges[[#This Row],[Count of ","]]=0),"Single Cell",IF(Table_NamedRanges[[#This Row],[Count of Colon ":"]]=1,"Single Range", "Multiple (Cell or Range)")))</f>
        <v>Single Cell</v>
      </c>
    </row>
    <row r="99" spans="2:11" x14ac:dyDescent="0.25">
      <c r="B99" s="6" t="s">
        <v>268</v>
      </c>
      <c r="C99" s="8" t="s">
        <v>435</v>
      </c>
      <c r="D99" s="18">
        <f ca="1">IFERROR(INDIRECT(Table_NamedRanges[[#This Row],[Named Range Paste]]),"Undefined/Error")</f>
        <v>0</v>
      </c>
      <c r="E99" s="18" t="str">
        <f>Table_NamedRanges[[#This Row],[Reference Paste]]</f>
        <v>='Travel Expense Summary'!$P$19</v>
      </c>
      <c r="F99" s="18" t="b">
        <f ca="1">ISERROR(VLOOKUP(Table_NamedRanges[[#This Row],[Named Range Paste]],OFFSET(INDEX(Table_ErrorList[],1,1),0,MATCH(Table_ErrorList[[#Headers],[Attention To Named Range]],Table_ErrorList[#Headers],0)-1,ROWS(Table_ErrorList[]),1),1,FALSE))=FALSE</f>
        <v>1</v>
      </c>
      <c r="G99" s="20" t="b">
        <f>MID(Table_NamedRanges[[#This Row],[Reference Text]],2,1)="'"</f>
        <v>1</v>
      </c>
      <c r="H99" s="20">
        <f>(LEN(Table_NamedRanges[[#This Row],[Reference Text]])-LEN(SUBSTITUTE(Table_NamedRanges[[#This Row],[Reference Text]],":","")))/LEN(":")</f>
        <v>0</v>
      </c>
      <c r="I99" s="20" t="b">
        <f>OR(ISERROR(FIND("[",Table_NamedRanges[[#This Row],[Reference Text]],1))=FALSE,ISERROR(FIND("]",Table_NamedRanges[[#This Row],[Reference Text]],1))=FALSE)</f>
        <v>0</v>
      </c>
      <c r="J99" s="20">
        <f>(LEN(Table_NamedRanges[[#This Row],[Reference Text]])-LEN(SUBSTITUTE(Table_NamedRanges[[#This Row],[Reference Text]],",","")))/LEN(",")</f>
        <v>0</v>
      </c>
      <c r="K99" s="20" t="str">
        <f>IF(Table_NamedRanges[[#This Row],[Starts with '']]=FALSE,"Other",IF(AND(Table_NamedRanges[[#This Row],[Count of Colon ":"]]=0,Table_NamedRanges[[#This Row],[Count of ","]]=0),"Single Cell",IF(Table_NamedRanges[[#This Row],[Count of Colon ":"]]=1,"Single Range", "Multiple (Cell or Range)")))</f>
        <v>Single Cell</v>
      </c>
    </row>
    <row r="100" spans="2:11" x14ac:dyDescent="0.25">
      <c r="B100" s="6" t="s">
        <v>269</v>
      </c>
      <c r="C100" s="8" t="s">
        <v>436</v>
      </c>
      <c r="D100" s="18">
        <f ca="1">IFERROR(INDIRECT(Table_NamedRanges[[#This Row],[Named Range Paste]]),"Undefined/Error")</f>
        <v>0</v>
      </c>
      <c r="E100" s="18" t="str">
        <f>Table_NamedRanges[[#This Row],[Reference Paste]]</f>
        <v>='Travel Expense Summary'!$P$20</v>
      </c>
      <c r="F100" s="18" t="b">
        <f ca="1">ISERROR(VLOOKUP(Table_NamedRanges[[#This Row],[Named Range Paste]],OFFSET(INDEX(Table_ErrorList[],1,1),0,MATCH(Table_ErrorList[[#Headers],[Attention To Named Range]],Table_ErrorList[#Headers],0)-1,ROWS(Table_ErrorList[]),1),1,FALSE))=FALSE</f>
        <v>1</v>
      </c>
      <c r="G100" s="20" t="b">
        <f>MID(Table_NamedRanges[[#This Row],[Reference Text]],2,1)="'"</f>
        <v>1</v>
      </c>
      <c r="H100" s="20">
        <f>(LEN(Table_NamedRanges[[#This Row],[Reference Text]])-LEN(SUBSTITUTE(Table_NamedRanges[[#This Row],[Reference Text]],":","")))/LEN(":")</f>
        <v>0</v>
      </c>
      <c r="I100" s="20" t="b">
        <f>OR(ISERROR(FIND("[",Table_NamedRanges[[#This Row],[Reference Text]],1))=FALSE,ISERROR(FIND("]",Table_NamedRanges[[#This Row],[Reference Text]],1))=FALSE)</f>
        <v>0</v>
      </c>
      <c r="J100" s="20">
        <f>(LEN(Table_NamedRanges[[#This Row],[Reference Text]])-LEN(SUBSTITUTE(Table_NamedRanges[[#This Row],[Reference Text]],",","")))/LEN(",")</f>
        <v>0</v>
      </c>
      <c r="K100" s="20" t="str">
        <f>IF(Table_NamedRanges[[#This Row],[Starts with '']]=FALSE,"Other",IF(AND(Table_NamedRanges[[#This Row],[Count of Colon ":"]]=0,Table_NamedRanges[[#This Row],[Count of ","]]=0),"Single Cell",IF(Table_NamedRanges[[#This Row],[Count of Colon ":"]]=1,"Single Range", "Multiple (Cell or Range)")))</f>
        <v>Single Cell</v>
      </c>
    </row>
    <row r="101" spans="2:11" x14ac:dyDescent="0.25">
      <c r="B101" s="6" t="s">
        <v>270</v>
      </c>
      <c r="C101" s="8" t="s">
        <v>437</v>
      </c>
      <c r="D101" s="18">
        <f ca="1">IFERROR(INDIRECT(Table_NamedRanges[[#This Row],[Named Range Paste]]),"Undefined/Error")</f>
        <v>0</v>
      </c>
      <c r="E101" s="18" t="str">
        <f>Table_NamedRanges[[#This Row],[Reference Paste]]</f>
        <v>='Travel Expense Summary'!$P$21</v>
      </c>
      <c r="F101" s="18" t="b">
        <f ca="1">ISERROR(VLOOKUP(Table_NamedRanges[[#This Row],[Named Range Paste]],OFFSET(INDEX(Table_ErrorList[],1,1),0,MATCH(Table_ErrorList[[#Headers],[Attention To Named Range]],Table_ErrorList[#Headers],0)-1,ROWS(Table_ErrorList[]),1),1,FALSE))=FALSE</f>
        <v>1</v>
      </c>
      <c r="G101" s="20" t="b">
        <f>MID(Table_NamedRanges[[#This Row],[Reference Text]],2,1)="'"</f>
        <v>1</v>
      </c>
      <c r="H101" s="20">
        <f>(LEN(Table_NamedRanges[[#This Row],[Reference Text]])-LEN(SUBSTITUTE(Table_NamedRanges[[#This Row],[Reference Text]],":","")))/LEN(":")</f>
        <v>0</v>
      </c>
      <c r="I101" s="20" t="b">
        <f>OR(ISERROR(FIND("[",Table_NamedRanges[[#This Row],[Reference Text]],1))=FALSE,ISERROR(FIND("]",Table_NamedRanges[[#This Row],[Reference Text]],1))=FALSE)</f>
        <v>0</v>
      </c>
      <c r="J101" s="20">
        <f>(LEN(Table_NamedRanges[[#This Row],[Reference Text]])-LEN(SUBSTITUTE(Table_NamedRanges[[#This Row],[Reference Text]],",","")))/LEN(",")</f>
        <v>0</v>
      </c>
      <c r="K101" s="20" t="str">
        <f>IF(Table_NamedRanges[[#This Row],[Starts with '']]=FALSE,"Other",IF(AND(Table_NamedRanges[[#This Row],[Count of Colon ":"]]=0,Table_NamedRanges[[#This Row],[Count of ","]]=0),"Single Cell",IF(Table_NamedRanges[[#This Row],[Count of Colon ":"]]=1,"Single Range", "Multiple (Cell or Range)")))</f>
        <v>Single Cell</v>
      </c>
    </row>
    <row r="102" spans="2:11" x14ac:dyDescent="0.25">
      <c r="B102" s="6" t="s">
        <v>271</v>
      </c>
      <c r="C102" s="8" t="s">
        <v>438</v>
      </c>
      <c r="D102" s="18">
        <f ca="1">IFERROR(INDIRECT(Table_NamedRanges[[#This Row],[Named Range Paste]]),"Undefined/Error")</f>
        <v>0</v>
      </c>
      <c r="E102" s="18" t="str">
        <f>Table_NamedRanges[[#This Row],[Reference Paste]]</f>
        <v>='Travel Expense Summary'!$P$22</v>
      </c>
      <c r="F102" s="18" t="b">
        <f ca="1">ISERROR(VLOOKUP(Table_NamedRanges[[#This Row],[Named Range Paste]],OFFSET(INDEX(Table_ErrorList[],1,1),0,MATCH(Table_ErrorList[[#Headers],[Attention To Named Range]],Table_ErrorList[#Headers],0)-1,ROWS(Table_ErrorList[]),1),1,FALSE))=FALSE</f>
        <v>1</v>
      </c>
      <c r="G102" s="20" t="b">
        <f>MID(Table_NamedRanges[[#This Row],[Reference Text]],2,1)="'"</f>
        <v>1</v>
      </c>
      <c r="H102" s="20">
        <f>(LEN(Table_NamedRanges[[#This Row],[Reference Text]])-LEN(SUBSTITUTE(Table_NamedRanges[[#This Row],[Reference Text]],":","")))/LEN(":")</f>
        <v>0</v>
      </c>
      <c r="I102" s="20" t="b">
        <f>OR(ISERROR(FIND("[",Table_NamedRanges[[#This Row],[Reference Text]],1))=FALSE,ISERROR(FIND("]",Table_NamedRanges[[#This Row],[Reference Text]],1))=FALSE)</f>
        <v>0</v>
      </c>
      <c r="J102" s="20">
        <f>(LEN(Table_NamedRanges[[#This Row],[Reference Text]])-LEN(SUBSTITUTE(Table_NamedRanges[[#This Row],[Reference Text]],",","")))/LEN(",")</f>
        <v>0</v>
      </c>
      <c r="K102" s="20" t="str">
        <f>IF(Table_NamedRanges[[#This Row],[Starts with '']]=FALSE,"Other",IF(AND(Table_NamedRanges[[#This Row],[Count of Colon ":"]]=0,Table_NamedRanges[[#This Row],[Count of ","]]=0),"Single Cell",IF(Table_NamedRanges[[#This Row],[Count of Colon ":"]]=1,"Single Range", "Multiple (Cell or Range)")))</f>
        <v>Single Cell</v>
      </c>
    </row>
    <row r="103" spans="2:11" x14ac:dyDescent="0.25">
      <c r="B103" s="6" t="s">
        <v>314</v>
      </c>
      <c r="C103" s="8" t="s">
        <v>1276</v>
      </c>
      <c r="D103" s="18" t="str">
        <f ca="1">IFERROR(INDIRECT(Table_NamedRanges[[#This Row],[Named Range Paste]]),"Undefined/Error")</f>
        <v/>
      </c>
      <c r="E103" s="18" t="str">
        <f>Table_NamedRanges[[#This Row],[Reference Paste]]</f>
        <v>='Particulars Validation'!$AY$4</v>
      </c>
      <c r="F103" s="18" t="b">
        <f ca="1">ISERROR(VLOOKUP(Table_NamedRanges[[#This Row],[Named Range Paste]],OFFSET(INDEX(Table_ErrorList[],1,1),0,MATCH(Table_ErrorList[[#Headers],[Attention To Named Range]],Table_ErrorList[#Headers],0)-1,ROWS(Table_ErrorList[]),1),1,FALSE))=FALSE</f>
        <v>1</v>
      </c>
      <c r="G103" s="20" t="b">
        <f>MID(Table_NamedRanges[[#This Row],[Reference Text]],2,1)="'"</f>
        <v>1</v>
      </c>
      <c r="H103" s="20">
        <f>(LEN(Table_NamedRanges[[#This Row],[Reference Text]])-LEN(SUBSTITUTE(Table_NamedRanges[[#This Row],[Reference Text]],":","")))/LEN(":")</f>
        <v>0</v>
      </c>
      <c r="I103" s="20" t="b">
        <f>OR(ISERROR(FIND("[",Table_NamedRanges[[#This Row],[Reference Text]],1))=FALSE,ISERROR(FIND("]",Table_NamedRanges[[#This Row],[Reference Text]],1))=FALSE)</f>
        <v>0</v>
      </c>
      <c r="J103" s="20">
        <f>(LEN(Table_NamedRanges[[#This Row],[Reference Text]])-LEN(SUBSTITUTE(Table_NamedRanges[[#This Row],[Reference Text]],",","")))/LEN(",")</f>
        <v>0</v>
      </c>
      <c r="K103" s="20" t="str">
        <f>IF(Table_NamedRanges[[#This Row],[Starts with '']]=FALSE,"Other",IF(AND(Table_NamedRanges[[#This Row],[Count of Colon ":"]]=0,Table_NamedRanges[[#This Row],[Count of ","]]=0),"Single Cell",IF(Table_NamedRanges[[#This Row],[Count of Colon ":"]]=1,"Single Range", "Multiple (Cell or Range)")))</f>
        <v>Single Cell</v>
      </c>
    </row>
    <row r="104" spans="2:11" ht="30" x14ac:dyDescent="0.25">
      <c r="B104" s="6" t="s">
        <v>272</v>
      </c>
      <c r="C104" s="8" t="s">
        <v>439</v>
      </c>
      <c r="D104" s="18" t="str">
        <f ca="1">IFERROR(INDIRECT(Table_NamedRanges[[#This Row],[Named Range Paste]]),"Undefined/Error")</f>
        <v>Undefined/Error</v>
      </c>
      <c r="E104" s="18" t="str">
        <f>Table_NamedRanges[[#This Row],[Reference Paste]]</f>
        <v>='Travel Expense Summary'!$R$13,'Travel Expense Summary'!$S$13,'Travel Expense Summary'!$T$13</v>
      </c>
      <c r="F104" s="18" t="b">
        <f ca="1">ISERROR(VLOOKUP(Table_NamedRanges[[#This Row],[Named Range Paste]],OFFSET(INDEX(Table_ErrorList[],1,1),0,MATCH(Table_ErrorList[[#Headers],[Attention To Named Range]],Table_ErrorList[#Headers],0)-1,ROWS(Table_ErrorList[]),1),1,FALSE))=FALSE</f>
        <v>1</v>
      </c>
      <c r="G104" s="20" t="b">
        <f>MID(Table_NamedRanges[[#This Row],[Reference Text]],2,1)="'"</f>
        <v>1</v>
      </c>
      <c r="H104" s="20">
        <f>(LEN(Table_NamedRanges[[#This Row],[Reference Text]])-LEN(SUBSTITUTE(Table_NamedRanges[[#This Row],[Reference Text]],":","")))/LEN(":")</f>
        <v>0</v>
      </c>
      <c r="I104" s="20" t="b">
        <f>OR(ISERROR(FIND("[",Table_NamedRanges[[#This Row],[Reference Text]],1))=FALSE,ISERROR(FIND("]",Table_NamedRanges[[#This Row],[Reference Text]],1))=FALSE)</f>
        <v>0</v>
      </c>
      <c r="J104" s="20">
        <f>(LEN(Table_NamedRanges[[#This Row],[Reference Text]])-LEN(SUBSTITUTE(Table_NamedRanges[[#This Row],[Reference Text]],",","")))/LEN(",")</f>
        <v>2</v>
      </c>
      <c r="K104" s="20" t="str">
        <f>IF(Table_NamedRanges[[#This Row],[Starts with '']]=FALSE,"Other",IF(AND(Table_NamedRanges[[#This Row],[Count of Colon ":"]]=0,Table_NamedRanges[[#This Row],[Count of ","]]=0),"Single Cell",IF(Table_NamedRanges[[#This Row],[Count of Colon ":"]]=1,"Single Range", "Multiple (Cell or Range)")))</f>
        <v>Multiple (Cell or Range)</v>
      </c>
    </row>
    <row r="105" spans="2:11" ht="30" x14ac:dyDescent="0.25">
      <c r="B105" s="6" t="s">
        <v>282</v>
      </c>
      <c r="C105" s="8" t="s">
        <v>440</v>
      </c>
      <c r="D105" s="18" t="str">
        <f ca="1">IFERROR(INDIRECT(Table_NamedRanges[[#This Row],[Named Range Paste]]),"Undefined/Error")</f>
        <v>Undefined/Error</v>
      </c>
      <c r="E105" s="18" t="str">
        <f>Table_NamedRanges[[#This Row],[Reference Paste]]</f>
        <v>='Travel Expense Summary'!$R$14,'Travel Expense Summary'!$S$14,'Travel Expense Summary'!$T$14</v>
      </c>
      <c r="F105" s="18" t="b">
        <f ca="1">ISERROR(VLOOKUP(Table_NamedRanges[[#This Row],[Named Range Paste]],OFFSET(INDEX(Table_ErrorList[],1,1),0,MATCH(Table_ErrorList[[#Headers],[Attention To Named Range]],Table_ErrorList[#Headers],0)-1,ROWS(Table_ErrorList[]),1),1,FALSE))=FALSE</f>
        <v>1</v>
      </c>
      <c r="G105" s="20" t="b">
        <f>MID(Table_NamedRanges[[#This Row],[Reference Text]],2,1)="'"</f>
        <v>1</v>
      </c>
      <c r="H105" s="20">
        <f>(LEN(Table_NamedRanges[[#This Row],[Reference Text]])-LEN(SUBSTITUTE(Table_NamedRanges[[#This Row],[Reference Text]],":","")))/LEN(":")</f>
        <v>0</v>
      </c>
      <c r="I105" s="20" t="b">
        <f>OR(ISERROR(FIND("[",Table_NamedRanges[[#This Row],[Reference Text]],1))=FALSE,ISERROR(FIND("]",Table_NamedRanges[[#This Row],[Reference Text]],1))=FALSE)</f>
        <v>0</v>
      </c>
      <c r="J105" s="20">
        <f>(LEN(Table_NamedRanges[[#This Row],[Reference Text]])-LEN(SUBSTITUTE(Table_NamedRanges[[#This Row],[Reference Text]],",","")))/LEN(",")</f>
        <v>2</v>
      </c>
      <c r="K105" s="20" t="str">
        <f>IF(Table_NamedRanges[[#This Row],[Starts with '']]=FALSE,"Other",IF(AND(Table_NamedRanges[[#This Row],[Count of Colon ":"]]=0,Table_NamedRanges[[#This Row],[Count of ","]]=0),"Single Cell",IF(Table_NamedRanges[[#This Row],[Count of Colon ":"]]=1,"Single Range", "Multiple (Cell or Range)")))</f>
        <v>Multiple (Cell or Range)</v>
      </c>
    </row>
    <row r="106" spans="2:11" ht="30" x14ac:dyDescent="0.25">
      <c r="B106" s="6" t="s">
        <v>283</v>
      </c>
      <c r="C106" s="8" t="s">
        <v>441</v>
      </c>
      <c r="D106" s="18" t="str">
        <f ca="1">IFERROR(INDIRECT(Table_NamedRanges[[#This Row],[Named Range Paste]]),"Undefined/Error")</f>
        <v>Undefined/Error</v>
      </c>
      <c r="E106" s="18" t="str">
        <f>Table_NamedRanges[[#This Row],[Reference Paste]]</f>
        <v>='Travel Expense Summary'!$R$15,'Travel Expense Summary'!$S$15,'Travel Expense Summary'!$T$15</v>
      </c>
      <c r="F106" s="18" t="b">
        <f ca="1">ISERROR(VLOOKUP(Table_NamedRanges[[#This Row],[Named Range Paste]],OFFSET(INDEX(Table_ErrorList[],1,1),0,MATCH(Table_ErrorList[[#Headers],[Attention To Named Range]],Table_ErrorList[#Headers],0)-1,ROWS(Table_ErrorList[]),1),1,FALSE))=FALSE</f>
        <v>1</v>
      </c>
      <c r="G106" s="20" t="b">
        <f>MID(Table_NamedRanges[[#This Row],[Reference Text]],2,1)="'"</f>
        <v>1</v>
      </c>
      <c r="H106" s="20">
        <f>(LEN(Table_NamedRanges[[#This Row],[Reference Text]])-LEN(SUBSTITUTE(Table_NamedRanges[[#This Row],[Reference Text]],":","")))/LEN(":")</f>
        <v>0</v>
      </c>
      <c r="I106" s="20" t="b">
        <f>OR(ISERROR(FIND("[",Table_NamedRanges[[#This Row],[Reference Text]],1))=FALSE,ISERROR(FIND("]",Table_NamedRanges[[#This Row],[Reference Text]],1))=FALSE)</f>
        <v>0</v>
      </c>
      <c r="J106" s="20">
        <f>(LEN(Table_NamedRanges[[#This Row],[Reference Text]])-LEN(SUBSTITUTE(Table_NamedRanges[[#This Row],[Reference Text]],",","")))/LEN(",")</f>
        <v>2</v>
      </c>
      <c r="K106" s="20" t="str">
        <f>IF(Table_NamedRanges[[#This Row],[Starts with '']]=FALSE,"Other",IF(AND(Table_NamedRanges[[#This Row],[Count of Colon ":"]]=0,Table_NamedRanges[[#This Row],[Count of ","]]=0),"Single Cell",IF(Table_NamedRanges[[#This Row],[Count of Colon ":"]]=1,"Single Range", "Multiple (Cell or Range)")))</f>
        <v>Multiple (Cell or Range)</v>
      </c>
    </row>
    <row r="107" spans="2:11" ht="30" x14ac:dyDescent="0.25">
      <c r="B107" s="6" t="s">
        <v>284</v>
      </c>
      <c r="C107" s="8" t="s">
        <v>442</v>
      </c>
      <c r="D107" s="18" t="str">
        <f ca="1">IFERROR(INDIRECT(Table_NamedRanges[[#This Row],[Named Range Paste]]),"Undefined/Error")</f>
        <v>Undefined/Error</v>
      </c>
      <c r="E107" s="18" t="str">
        <f>Table_NamedRanges[[#This Row],[Reference Paste]]</f>
        <v>='Travel Expense Summary'!$R$16,'Travel Expense Summary'!$S$16,'Travel Expense Summary'!$T$16</v>
      </c>
      <c r="F107" s="18" t="b">
        <f ca="1">ISERROR(VLOOKUP(Table_NamedRanges[[#This Row],[Named Range Paste]],OFFSET(INDEX(Table_ErrorList[],1,1),0,MATCH(Table_ErrorList[[#Headers],[Attention To Named Range]],Table_ErrorList[#Headers],0)-1,ROWS(Table_ErrorList[]),1),1,FALSE))=FALSE</f>
        <v>1</v>
      </c>
      <c r="G107" s="20" t="b">
        <f>MID(Table_NamedRanges[[#This Row],[Reference Text]],2,1)="'"</f>
        <v>1</v>
      </c>
      <c r="H107" s="20">
        <f>(LEN(Table_NamedRanges[[#This Row],[Reference Text]])-LEN(SUBSTITUTE(Table_NamedRanges[[#This Row],[Reference Text]],":","")))/LEN(":")</f>
        <v>0</v>
      </c>
      <c r="I107" s="20" t="b">
        <f>OR(ISERROR(FIND("[",Table_NamedRanges[[#This Row],[Reference Text]],1))=FALSE,ISERROR(FIND("]",Table_NamedRanges[[#This Row],[Reference Text]],1))=FALSE)</f>
        <v>0</v>
      </c>
      <c r="J107" s="20">
        <f>(LEN(Table_NamedRanges[[#This Row],[Reference Text]])-LEN(SUBSTITUTE(Table_NamedRanges[[#This Row],[Reference Text]],",","")))/LEN(",")</f>
        <v>2</v>
      </c>
      <c r="K107" s="20" t="str">
        <f>IF(Table_NamedRanges[[#This Row],[Starts with '']]=FALSE,"Other",IF(AND(Table_NamedRanges[[#This Row],[Count of Colon ":"]]=0,Table_NamedRanges[[#This Row],[Count of ","]]=0),"Single Cell",IF(Table_NamedRanges[[#This Row],[Count of Colon ":"]]=1,"Single Range", "Multiple (Cell or Range)")))</f>
        <v>Multiple (Cell or Range)</v>
      </c>
    </row>
    <row r="108" spans="2:11" ht="30" x14ac:dyDescent="0.25">
      <c r="B108" s="6" t="s">
        <v>285</v>
      </c>
      <c r="C108" s="8" t="s">
        <v>443</v>
      </c>
      <c r="D108" s="18" t="str">
        <f ca="1">IFERROR(INDIRECT(Table_NamedRanges[[#This Row],[Named Range Paste]]),"Undefined/Error")</f>
        <v>Undefined/Error</v>
      </c>
      <c r="E108" s="18" t="str">
        <f>Table_NamedRanges[[#This Row],[Reference Paste]]</f>
        <v>='Travel Expense Summary'!$R$17,'Travel Expense Summary'!$S$17,'Travel Expense Summary'!$T$17</v>
      </c>
      <c r="F108" s="18" t="b">
        <f ca="1">ISERROR(VLOOKUP(Table_NamedRanges[[#This Row],[Named Range Paste]],OFFSET(INDEX(Table_ErrorList[],1,1),0,MATCH(Table_ErrorList[[#Headers],[Attention To Named Range]],Table_ErrorList[#Headers],0)-1,ROWS(Table_ErrorList[]),1),1,FALSE))=FALSE</f>
        <v>1</v>
      </c>
      <c r="G108" s="20" t="b">
        <f>MID(Table_NamedRanges[[#This Row],[Reference Text]],2,1)="'"</f>
        <v>1</v>
      </c>
      <c r="H108" s="20">
        <f>(LEN(Table_NamedRanges[[#This Row],[Reference Text]])-LEN(SUBSTITUTE(Table_NamedRanges[[#This Row],[Reference Text]],":","")))/LEN(":")</f>
        <v>0</v>
      </c>
      <c r="I108" s="20" t="b">
        <f>OR(ISERROR(FIND("[",Table_NamedRanges[[#This Row],[Reference Text]],1))=FALSE,ISERROR(FIND("]",Table_NamedRanges[[#This Row],[Reference Text]],1))=FALSE)</f>
        <v>0</v>
      </c>
      <c r="J108" s="20">
        <f>(LEN(Table_NamedRanges[[#This Row],[Reference Text]])-LEN(SUBSTITUTE(Table_NamedRanges[[#This Row],[Reference Text]],",","")))/LEN(",")</f>
        <v>2</v>
      </c>
      <c r="K108" s="20" t="str">
        <f>IF(Table_NamedRanges[[#This Row],[Starts with '']]=FALSE,"Other",IF(AND(Table_NamedRanges[[#This Row],[Count of Colon ":"]]=0,Table_NamedRanges[[#This Row],[Count of ","]]=0),"Single Cell",IF(Table_NamedRanges[[#This Row],[Count of Colon ":"]]=1,"Single Range", "Multiple (Cell or Range)")))</f>
        <v>Multiple (Cell or Range)</v>
      </c>
    </row>
    <row r="109" spans="2:11" ht="30" x14ac:dyDescent="0.25">
      <c r="B109" s="6" t="s">
        <v>286</v>
      </c>
      <c r="C109" s="8" t="s">
        <v>444</v>
      </c>
      <c r="D109" s="18" t="str">
        <f ca="1">IFERROR(INDIRECT(Table_NamedRanges[[#This Row],[Named Range Paste]]),"Undefined/Error")</f>
        <v>Undefined/Error</v>
      </c>
      <c r="E109" s="18" t="str">
        <f>Table_NamedRanges[[#This Row],[Reference Paste]]</f>
        <v>='Travel Expense Summary'!$R$18,'Travel Expense Summary'!$S$18,'Travel Expense Summary'!$T$18</v>
      </c>
      <c r="F109" s="18" t="b">
        <f ca="1">ISERROR(VLOOKUP(Table_NamedRanges[[#This Row],[Named Range Paste]],OFFSET(INDEX(Table_ErrorList[],1,1),0,MATCH(Table_ErrorList[[#Headers],[Attention To Named Range]],Table_ErrorList[#Headers],0)-1,ROWS(Table_ErrorList[]),1),1,FALSE))=FALSE</f>
        <v>1</v>
      </c>
      <c r="G109" s="20" t="b">
        <f>MID(Table_NamedRanges[[#This Row],[Reference Text]],2,1)="'"</f>
        <v>1</v>
      </c>
      <c r="H109" s="20">
        <f>(LEN(Table_NamedRanges[[#This Row],[Reference Text]])-LEN(SUBSTITUTE(Table_NamedRanges[[#This Row],[Reference Text]],":","")))/LEN(":")</f>
        <v>0</v>
      </c>
      <c r="I109" s="20" t="b">
        <f>OR(ISERROR(FIND("[",Table_NamedRanges[[#This Row],[Reference Text]],1))=FALSE,ISERROR(FIND("]",Table_NamedRanges[[#This Row],[Reference Text]],1))=FALSE)</f>
        <v>0</v>
      </c>
      <c r="J109" s="20">
        <f>(LEN(Table_NamedRanges[[#This Row],[Reference Text]])-LEN(SUBSTITUTE(Table_NamedRanges[[#This Row],[Reference Text]],",","")))/LEN(",")</f>
        <v>2</v>
      </c>
      <c r="K109" s="20" t="str">
        <f>IF(Table_NamedRanges[[#This Row],[Starts with '']]=FALSE,"Other",IF(AND(Table_NamedRanges[[#This Row],[Count of Colon ":"]]=0,Table_NamedRanges[[#This Row],[Count of ","]]=0),"Single Cell",IF(Table_NamedRanges[[#This Row],[Count of Colon ":"]]=1,"Single Range", "Multiple (Cell or Range)")))</f>
        <v>Multiple (Cell or Range)</v>
      </c>
    </row>
    <row r="110" spans="2:11" ht="30" x14ac:dyDescent="0.25">
      <c r="B110" s="6" t="s">
        <v>287</v>
      </c>
      <c r="C110" s="8" t="s">
        <v>445</v>
      </c>
      <c r="D110" s="18" t="str">
        <f ca="1">IFERROR(INDIRECT(Table_NamedRanges[[#This Row],[Named Range Paste]]),"Undefined/Error")</f>
        <v>Undefined/Error</v>
      </c>
      <c r="E110" s="18" t="str">
        <f>Table_NamedRanges[[#This Row],[Reference Paste]]</f>
        <v>='Travel Expense Summary'!$R$19,'Travel Expense Summary'!$S$19,'Travel Expense Summary'!$T$19</v>
      </c>
      <c r="F110" s="18" t="b">
        <f ca="1">ISERROR(VLOOKUP(Table_NamedRanges[[#This Row],[Named Range Paste]],OFFSET(INDEX(Table_ErrorList[],1,1),0,MATCH(Table_ErrorList[[#Headers],[Attention To Named Range]],Table_ErrorList[#Headers],0)-1,ROWS(Table_ErrorList[]),1),1,FALSE))=FALSE</f>
        <v>1</v>
      </c>
      <c r="G110" s="20" t="b">
        <f>MID(Table_NamedRanges[[#This Row],[Reference Text]],2,1)="'"</f>
        <v>1</v>
      </c>
      <c r="H110" s="20">
        <f>(LEN(Table_NamedRanges[[#This Row],[Reference Text]])-LEN(SUBSTITUTE(Table_NamedRanges[[#This Row],[Reference Text]],":","")))/LEN(":")</f>
        <v>0</v>
      </c>
      <c r="I110" s="20" t="b">
        <f>OR(ISERROR(FIND("[",Table_NamedRanges[[#This Row],[Reference Text]],1))=FALSE,ISERROR(FIND("]",Table_NamedRanges[[#This Row],[Reference Text]],1))=FALSE)</f>
        <v>0</v>
      </c>
      <c r="J110" s="20">
        <f>(LEN(Table_NamedRanges[[#This Row],[Reference Text]])-LEN(SUBSTITUTE(Table_NamedRanges[[#This Row],[Reference Text]],",","")))/LEN(",")</f>
        <v>2</v>
      </c>
      <c r="K110" s="20" t="str">
        <f>IF(Table_NamedRanges[[#This Row],[Starts with '']]=FALSE,"Other",IF(AND(Table_NamedRanges[[#This Row],[Count of Colon ":"]]=0,Table_NamedRanges[[#This Row],[Count of ","]]=0),"Single Cell",IF(Table_NamedRanges[[#This Row],[Count of Colon ":"]]=1,"Single Range", "Multiple (Cell or Range)")))</f>
        <v>Multiple (Cell or Range)</v>
      </c>
    </row>
    <row r="111" spans="2:11" ht="30" x14ac:dyDescent="0.25">
      <c r="B111" s="6" t="s">
        <v>288</v>
      </c>
      <c r="C111" s="8" t="s">
        <v>446</v>
      </c>
      <c r="D111" s="18" t="str">
        <f ca="1">IFERROR(INDIRECT(Table_NamedRanges[[#This Row],[Named Range Paste]]),"Undefined/Error")</f>
        <v>Undefined/Error</v>
      </c>
      <c r="E111" s="18" t="str">
        <f>Table_NamedRanges[[#This Row],[Reference Paste]]</f>
        <v>='Travel Expense Summary'!$R$20,'Travel Expense Summary'!$S$20,'Travel Expense Summary'!$T$20</v>
      </c>
      <c r="F111" s="18" t="b">
        <f ca="1">ISERROR(VLOOKUP(Table_NamedRanges[[#This Row],[Named Range Paste]],OFFSET(INDEX(Table_ErrorList[],1,1),0,MATCH(Table_ErrorList[[#Headers],[Attention To Named Range]],Table_ErrorList[#Headers],0)-1,ROWS(Table_ErrorList[]),1),1,FALSE))=FALSE</f>
        <v>1</v>
      </c>
      <c r="G111" s="20" t="b">
        <f>MID(Table_NamedRanges[[#This Row],[Reference Text]],2,1)="'"</f>
        <v>1</v>
      </c>
      <c r="H111" s="20">
        <f>(LEN(Table_NamedRanges[[#This Row],[Reference Text]])-LEN(SUBSTITUTE(Table_NamedRanges[[#This Row],[Reference Text]],":","")))/LEN(":")</f>
        <v>0</v>
      </c>
      <c r="I111" s="20" t="b">
        <f>OR(ISERROR(FIND("[",Table_NamedRanges[[#This Row],[Reference Text]],1))=FALSE,ISERROR(FIND("]",Table_NamedRanges[[#This Row],[Reference Text]],1))=FALSE)</f>
        <v>0</v>
      </c>
      <c r="J111" s="20">
        <f>(LEN(Table_NamedRanges[[#This Row],[Reference Text]])-LEN(SUBSTITUTE(Table_NamedRanges[[#This Row],[Reference Text]],",","")))/LEN(",")</f>
        <v>2</v>
      </c>
      <c r="K111" s="20" t="str">
        <f>IF(Table_NamedRanges[[#This Row],[Starts with '']]=FALSE,"Other",IF(AND(Table_NamedRanges[[#This Row],[Count of Colon ":"]]=0,Table_NamedRanges[[#This Row],[Count of ","]]=0),"Single Cell",IF(Table_NamedRanges[[#This Row],[Count of Colon ":"]]=1,"Single Range", "Multiple (Cell or Range)")))</f>
        <v>Multiple (Cell or Range)</v>
      </c>
    </row>
    <row r="112" spans="2:11" ht="30" x14ac:dyDescent="0.25">
      <c r="B112" s="6" t="s">
        <v>289</v>
      </c>
      <c r="C112" s="8" t="s">
        <v>447</v>
      </c>
      <c r="D112" s="18" t="str">
        <f ca="1">IFERROR(INDIRECT(Table_NamedRanges[[#This Row],[Named Range Paste]]),"Undefined/Error")</f>
        <v>Undefined/Error</v>
      </c>
      <c r="E112" s="18" t="str">
        <f>Table_NamedRanges[[#This Row],[Reference Paste]]</f>
        <v>='Travel Expense Summary'!$R$21,'Travel Expense Summary'!$S$21,'Travel Expense Summary'!$T$21</v>
      </c>
      <c r="F112" s="18" t="b">
        <f ca="1">ISERROR(VLOOKUP(Table_NamedRanges[[#This Row],[Named Range Paste]],OFFSET(INDEX(Table_ErrorList[],1,1),0,MATCH(Table_ErrorList[[#Headers],[Attention To Named Range]],Table_ErrorList[#Headers],0)-1,ROWS(Table_ErrorList[]),1),1,FALSE))=FALSE</f>
        <v>1</v>
      </c>
      <c r="G112" s="20" t="b">
        <f>MID(Table_NamedRanges[[#This Row],[Reference Text]],2,1)="'"</f>
        <v>1</v>
      </c>
      <c r="H112" s="20">
        <f>(LEN(Table_NamedRanges[[#This Row],[Reference Text]])-LEN(SUBSTITUTE(Table_NamedRanges[[#This Row],[Reference Text]],":","")))/LEN(":")</f>
        <v>0</v>
      </c>
      <c r="I112" s="20" t="b">
        <f>OR(ISERROR(FIND("[",Table_NamedRanges[[#This Row],[Reference Text]],1))=FALSE,ISERROR(FIND("]",Table_NamedRanges[[#This Row],[Reference Text]],1))=FALSE)</f>
        <v>0</v>
      </c>
      <c r="J112" s="20">
        <f>(LEN(Table_NamedRanges[[#This Row],[Reference Text]])-LEN(SUBSTITUTE(Table_NamedRanges[[#This Row],[Reference Text]],",","")))/LEN(",")</f>
        <v>2</v>
      </c>
      <c r="K112" s="20" t="str">
        <f>IF(Table_NamedRanges[[#This Row],[Starts with '']]=FALSE,"Other",IF(AND(Table_NamedRanges[[#This Row],[Count of Colon ":"]]=0,Table_NamedRanges[[#This Row],[Count of ","]]=0),"Single Cell",IF(Table_NamedRanges[[#This Row],[Count of Colon ":"]]=1,"Single Range", "Multiple (Cell or Range)")))</f>
        <v>Multiple (Cell or Range)</v>
      </c>
    </row>
    <row r="113" spans="2:11" ht="30" x14ac:dyDescent="0.25">
      <c r="B113" s="6" t="s">
        <v>290</v>
      </c>
      <c r="C113" s="8" t="s">
        <v>448</v>
      </c>
      <c r="D113" s="18" t="str">
        <f ca="1">IFERROR(INDIRECT(Table_NamedRanges[[#This Row],[Named Range Paste]]),"Undefined/Error")</f>
        <v>Undefined/Error</v>
      </c>
      <c r="E113" s="18" t="str">
        <f>Table_NamedRanges[[#This Row],[Reference Paste]]</f>
        <v>='Travel Expense Summary'!$R$22,'Travel Expense Summary'!$S$22,'Travel Expense Summary'!$T$22</v>
      </c>
      <c r="F113" s="18" t="b">
        <f ca="1">ISERROR(VLOOKUP(Table_NamedRanges[[#This Row],[Named Range Paste]],OFFSET(INDEX(Table_ErrorList[],1,1),0,MATCH(Table_ErrorList[[#Headers],[Attention To Named Range]],Table_ErrorList[#Headers],0)-1,ROWS(Table_ErrorList[]),1),1,FALSE))=FALSE</f>
        <v>1</v>
      </c>
      <c r="G113" s="20" t="b">
        <f>MID(Table_NamedRanges[[#This Row],[Reference Text]],2,1)="'"</f>
        <v>1</v>
      </c>
      <c r="H113" s="20">
        <f>(LEN(Table_NamedRanges[[#This Row],[Reference Text]])-LEN(SUBSTITUTE(Table_NamedRanges[[#This Row],[Reference Text]],":","")))/LEN(":")</f>
        <v>0</v>
      </c>
      <c r="I113" s="20" t="b">
        <f>OR(ISERROR(FIND("[",Table_NamedRanges[[#This Row],[Reference Text]],1))=FALSE,ISERROR(FIND("]",Table_NamedRanges[[#This Row],[Reference Text]],1))=FALSE)</f>
        <v>0</v>
      </c>
      <c r="J113" s="20">
        <f>(LEN(Table_NamedRanges[[#This Row],[Reference Text]])-LEN(SUBSTITUTE(Table_NamedRanges[[#This Row],[Reference Text]],",","")))/LEN(",")</f>
        <v>2</v>
      </c>
      <c r="K113" s="20" t="str">
        <f>IF(Table_NamedRanges[[#This Row],[Starts with '']]=FALSE,"Other",IF(AND(Table_NamedRanges[[#This Row],[Count of Colon ":"]]=0,Table_NamedRanges[[#This Row],[Count of ","]]=0),"Single Cell",IF(Table_NamedRanges[[#This Row],[Count of Colon ":"]]=1,"Single Range", "Multiple (Cell or Range)")))</f>
        <v>Multiple (Cell or Range)</v>
      </c>
    </row>
    <row r="114" spans="2:11" x14ac:dyDescent="0.25">
      <c r="B114" s="6" t="s">
        <v>449</v>
      </c>
      <c r="C114" s="8" t="s">
        <v>1146</v>
      </c>
      <c r="D114" s="18" t="str">
        <f ca="1">IFERROR(INDIRECT(Table_NamedRanges[[#This Row],[Named Range Paste]]),"Undefined/Error")</f>
        <v>Undefined/Error</v>
      </c>
      <c r="E114" s="18" t="str">
        <f>Table_NamedRanges[[#This Row],[Reference Paste]]</f>
        <v>='Travel Expense Summary'!$I$27:$I$37</v>
      </c>
      <c r="F114" s="18" t="b">
        <f ca="1">ISERROR(VLOOKUP(Table_NamedRanges[[#This Row],[Named Range Paste]],OFFSET(INDEX(Table_ErrorList[],1,1),0,MATCH(Table_ErrorList[[#Headers],[Attention To Named Range]],Table_ErrorList[#Headers],0)-1,ROWS(Table_ErrorList[]),1),1,FALSE))=FALSE</f>
        <v>0</v>
      </c>
      <c r="G114" s="20" t="b">
        <f>MID(Table_NamedRanges[[#This Row],[Reference Text]],2,1)="'"</f>
        <v>1</v>
      </c>
      <c r="H114" s="20">
        <f>(LEN(Table_NamedRanges[[#This Row],[Reference Text]])-LEN(SUBSTITUTE(Table_NamedRanges[[#This Row],[Reference Text]],":","")))/LEN(":")</f>
        <v>1</v>
      </c>
      <c r="I114" s="20" t="b">
        <f>OR(ISERROR(FIND("[",Table_NamedRanges[[#This Row],[Reference Text]],1))=FALSE,ISERROR(FIND("]",Table_NamedRanges[[#This Row],[Reference Text]],1))=FALSE)</f>
        <v>0</v>
      </c>
      <c r="J114" s="20">
        <f>(LEN(Table_NamedRanges[[#This Row],[Reference Text]])-LEN(SUBSTITUTE(Table_NamedRanges[[#This Row],[Reference Text]],",","")))/LEN(",")</f>
        <v>0</v>
      </c>
      <c r="K114" s="20" t="str">
        <f>IF(Table_NamedRanges[[#This Row],[Starts with '']]=FALSE,"Other",IF(AND(Table_NamedRanges[[#This Row],[Count of Colon ":"]]=0,Table_NamedRanges[[#This Row],[Count of ","]]=0),"Single Cell",IF(Table_NamedRanges[[#This Row],[Count of Colon ":"]]=1,"Single Range", "Multiple (Cell or Range)")))</f>
        <v>Single Range</v>
      </c>
    </row>
    <row r="115" spans="2:11" x14ac:dyDescent="0.25">
      <c r="B115" s="6" t="s">
        <v>450</v>
      </c>
      <c r="C115" s="8" t="s">
        <v>1147</v>
      </c>
      <c r="D115" s="18" t="str">
        <f ca="1">IFERROR(INDIRECT(Table_NamedRanges[[#This Row],[Named Range Paste]]),"Undefined/Error")</f>
        <v>Undefined/Error</v>
      </c>
      <c r="E115" s="18" t="str">
        <f>Table_NamedRanges[[#This Row],[Reference Paste]]</f>
        <v>='Travel Expense Summary'!$M$27:$M$37</v>
      </c>
      <c r="F115" s="18" t="b">
        <f ca="1">ISERROR(VLOOKUP(Table_NamedRanges[[#This Row],[Named Range Paste]],OFFSET(INDEX(Table_ErrorList[],1,1),0,MATCH(Table_ErrorList[[#Headers],[Attention To Named Range]],Table_ErrorList[#Headers],0)-1,ROWS(Table_ErrorList[]),1),1,FALSE))=FALSE</f>
        <v>0</v>
      </c>
      <c r="G115" s="20" t="b">
        <f>MID(Table_NamedRanges[[#This Row],[Reference Text]],2,1)="'"</f>
        <v>1</v>
      </c>
      <c r="H115" s="20">
        <f>(LEN(Table_NamedRanges[[#This Row],[Reference Text]])-LEN(SUBSTITUTE(Table_NamedRanges[[#This Row],[Reference Text]],":","")))/LEN(":")</f>
        <v>1</v>
      </c>
      <c r="I115" s="20" t="b">
        <f>OR(ISERROR(FIND("[",Table_NamedRanges[[#This Row],[Reference Text]],1))=FALSE,ISERROR(FIND("]",Table_NamedRanges[[#This Row],[Reference Text]],1))=FALSE)</f>
        <v>0</v>
      </c>
      <c r="J115" s="20">
        <f>(LEN(Table_NamedRanges[[#This Row],[Reference Text]])-LEN(SUBSTITUTE(Table_NamedRanges[[#This Row],[Reference Text]],",","")))/LEN(",")</f>
        <v>0</v>
      </c>
      <c r="K115" s="20" t="str">
        <f>IF(Table_NamedRanges[[#This Row],[Starts with '']]=FALSE,"Other",IF(AND(Table_NamedRanges[[#This Row],[Count of Colon ":"]]=0,Table_NamedRanges[[#This Row],[Count of ","]]=0),"Single Cell",IF(Table_NamedRanges[[#This Row],[Count of Colon ":"]]=1,"Single Range", "Multiple (Cell or Range)")))</f>
        <v>Single Range</v>
      </c>
    </row>
    <row r="116" spans="2:11" x14ac:dyDescent="0.25">
      <c r="B116" s="6" t="s">
        <v>451</v>
      </c>
      <c r="C116" s="8" t="s">
        <v>1148</v>
      </c>
      <c r="D116" s="18" t="str">
        <f ca="1">IFERROR(INDIRECT(Table_NamedRanges[[#This Row],[Named Range Paste]]),"Undefined/Error")</f>
        <v>Undefined/Error</v>
      </c>
      <c r="E116" s="18" t="str">
        <f>Table_NamedRanges[[#This Row],[Reference Paste]]</f>
        <v>='Travel Expense Summary'!$K$27:$L$37</v>
      </c>
      <c r="F116" s="18" t="b">
        <f ca="1">ISERROR(VLOOKUP(Table_NamedRanges[[#This Row],[Named Range Paste]],OFFSET(INDEX(Table_ErrorList[],1,1),0,MATCH(Table_ErrorList[[#Headers],[Attention To Named Range]],Table_ErrorList[#Headers],0)-1,ROWS(Table_ErrorList[]),1),1,FALSE))=FALSE</f>
        <v>0</v>
      </c>
      <c r="G116" s="20" t="b">
        <f>MID(Table_NamedRanges[[#This Row],[Reference Text]],2,1)="'"</f>
        <v>1</v>
      </c>
      <c r="H116" s="20">
        <f>(LEN(Table_NamedRanges[[#This Row],[Reference Text]])-LEN(SUBSTITUTE(Table_NamedRanges[[#This Row],[Reference Text]],":","")))/LEN(":")</f>
        <v>1</v>
      </c>
      <c r="I116" s="20" t="b">
        <f>OR(ISERROR(FIND("[",Table_NamedRanges[[#This Row],[Reference Text]],1))=FALSE,ISERROR(FIND("]",Table_NamedRanges[[#This Row],[Reference Text]],1))=FALSE)</f>
        <v>0</v>
      </c>
      <c r="J116" s="20">
        <f>(LEN(Table_NamedRanges[[#This Row],[Reference Text]])-LEN(SUBSTITUTE(Table_NamedRanges[[#This Row],[Reference Text]],",","")))/LEN(",")</f>
        <v>0</v>
      </c>
      <c r="K116" s="20" t="str">
        <f>IF(Table_NamedRanges[[#This Row],[Starts with '']]=FALSE,"Other",IF(AND(Table_NamedRanges[[#This Row],[Count of Colon ":"]]=0,Table_NamedRanges[[#This Row],[Count of ","]]=0),"Single Cell",IF(Table_NamedRanges[[#This Row],[Count of Colon ":"]]=1,"Single Range", "Multiple (Cell or Range)")))</f>
        <v>Single Range</v>
      </c>
    </row>
    <row r="117" spans="2:11" x14ac:dyDescent="0.25">
      <c r="B117" s="6" t="s">
        <v>452</v>
      </c>
      <c r="C117" s="8" t="s">
        <v>1149</v>
      </c>
      <c r="D117" s="18" t="str">
        <f ca="1">IFERROR(INDIRECT(Table_NamedRanges[[#This Row],[Named Range Paste]]),"Undefined/Error")</f>
        <v>Undefined/Error</v>
      </c>
      <c r="E117" s="18" t="str">
        <f>Table_NamedRanges[[#This Row],[Reference Paste]]</f>
        <v>='Travel Expense Summary'!$R$27:$R$37</v>
      </c>
      <c r="F117" s="18" t="b">
        <f ca="1">ISERROR(VLOOKUP(Table_NamedRanges[[#This Row],[Named Range Paste]],OFFSET(INDEX(Table_ErrorList[],1,1),0,MATCH(Table_ErrorList[[#Headers],[Attention To Named Range]],Table_ErrorList[#Headers],0)-1,ROWS(Table_ErrorList[]),1),1,FALSE))=FALSE</f>
        <v>0</v>
      </c>
      <c r="G117" s="20" t="b">
        <f>MID(Table_NamedRanges[[#This Row],[Reference Text]],2,1)="'"</f>
        <v>1</v>
      </c>
      <c r="H117" s="20">
        <f>(LEN(Table_NamedRanges[[#This Row],[Reference Text]])-LEN(SUBSTITUTE(Table_NamedRanges[[#This Row],[Reference Text]],":","")))/LEN(":")</f>
        <v>1</v>
      </c>
      <c r="I117" s="20" t="b">
        <f>OR(ISERROR(FIND("[",Table_NamedRanges[[#This Row],[Reference Text]],1))=FALSE,ISERROR(FIND("]",Table_NamedRanges[[#This Row],[Reference Text]],1))=FALSE)</f>
        <v>0</v>
      </c>
      <c r="J117" s="20">
        <f>(LEN(Table_NamedRanges[[#This Row],[Reference Text]])-LEN(SUBSTITUTE(Table_NamedRanges[[#This Row],[Reference Text]],",","")))/LEN(",")</f>
        <v>0</v>
      </c>
      <c r="K117" s="20" t="str">
        <f>IF(Table_NamedRanges[[#This Row],[Starts with '']]=FALSE,"Other",IF(AND(Table_NamedRanges[[#This Row],[Count of Colon ":"]]=0,Table_NamedRanges[[#This Row],[Count of ","]]=0),"Single Cell",IF(Table_NamedRanges[[#This Row],[Count of Colon ":"]]=1,"Single Range", "Multiple (Cell or Range)")))</f>
        <v>Single Range</v>
      </c>
    </row>
    <row r="118" spans="2:11" x14ac:dyDescent="0.25">
      <c r="B118" s="6" t="s">
        <v>453</v>
      </c>
      <c r="C118" s="8" t="s">
        <v>1150</v>
      </c>
      <c r="D118" s="18" t="str">
        <f ca="1">IFERROR(INDIRECT(Table_NamedRanges[[#This Row],[Named Range Paste]]),"Undefined/Error")</f>
        <v>Undefined/Error</v>
      </c>
      <c r="E118" s="18" t="str">
        <f>Table_NamedRanges[[#This Row],[Reference Paste]]</f>
        <v>='Travel Expense Summary'!$Y$27:$Y$37</v>
      </c>
      <c r="F118" s="18" t="b">
        <f ca="1">ISERROR(VLOOKUP(Table_NamedRanges[[#This Row],[Named Range Paste]],OFFSET(INDEX(Table_ErrorList[],1,1),0,MATCH(Table_ErrorList[[#Headers],[Attention To Named Range]],Table_ErrorList[#Headers],0)-1,ROWS(Table_ErrorList[]),1),1,FALSE))=FALSE</f>
        <v>0</v>
      </c>
      <c r="G118" s="20" t="b">
        <f>MID(Table_NamedRanges[[#This Row],[Reference Text]],2,1)="'"</f>
        <v>1</v>
      </c>
      <c r="H118" s="20">
        <f>(LEN(Table_NamedRanges[[#This Row],[Reference Text]])-LEN(SUBSTITUTE(Table_NamedRanges[[#This Row],[Reference Text]],":","")))/LEN(":")</f>
        <v>1</v>
      </c>
      <c r="I118" s="20" t="b">
        <f>OR(ISERROR(FIND("[",Table_NamedRanges[[#This Row],[Reference Text]],1))=FALSE,ISERROR(FIND("]",Table_NamedRanges[[#This Row],[Reference Text]],1))=FALSE)</f>
        <v>0</v>
      </c>
      <c r="J118" s="20">
        <f>(LEN(Table_NamedRanges[[#This Row],[Reference Text]])-LEN(SUBSTITUTE(Table_NamedRanges[[#This Row],[Reference Text]],",","")))/LEN(",")</f>
        <v>0</v>
      </c>
      <c r="K118" s="20" t="str">
        <f>IF(Table_NamedRanges[[#This Row],[Starts with '']]=FALSE,"Other",IF(AND(Table_NamedRanges[[#This Row],[Count of Colon ":"]]=0,Table_NamedRanges[[#This Row],[Count of ","]]=0),"Single Cell",IF(Table_NamedRanges[[#This Row],[Count of Colon ":"]]=1,"Single Range", "Multiple (Cell or Range)")))</f>
        <v>Single Range</v>
      </c>
    </row>
    <row r="119" spans="2:11" x14ac:dyDescent="0.25">
      <c r="B119" s="6" t="s">
        <v>454</v>
      </c>
      <c r="C119" s="8" t="s">
        <v>1151</v>
      </c>
      <c r="D119" s="18" t="str">
        <f ca="1">IFERROR(INDIRECT(Table_NamedRanges[[#This Row],[Named Range Paste]]),"Undefined/Error")</f>
        <v>Undefined/Error</v>
      </c>
      <c r="E119" s="18" t="str">
        <f>Table_NamedRanges[[#This Row],[Reference Paste]]</f>
        <v>='Travel Expense Summary'!$X$27:$X$37</v>
      </c>
      <c r="F119" s="18" t="b">
        <f ca="1">ISERROR(VLOOKUP(Table_NamedRanges[[#This Row],[Named Range Paste]],OFFSET(INDEX(Table_ErrorList[],1,1),0,MATCH(Table_ErrorList[[#Headers],[Attention To Named Range]],Table_ErrorList[#Headers],0)-1,ROWS(Table_ErrorList[]),1),1,FALSE))=FALSE</f>
        <v>0</v>
      </c>
      <c r="G119" s="20" t="b">
        <f>MID(Table_NamedRanges[[#This Row],[Reference Text]],2,1)="'"</f>
        <v>1</v>
      </c>
      <c r="H119" s="20">
        <f>(LEN(Table_NamedRanges[[#This Row],[Reference Text]])-LEN(SUBSTITUTE(Table_NamedRanges[[#This Row],[Reference Text]],":","")))/LEN(":")</f>
        <v>1</v>
      </c>
      <c r="I119" s="20" t="b">
        <f>OR(ISERROR(FIND("[",Table_NamedRanges[[#This Row],[Reference Text]],1))=FALSE,ISERROR(FIND("]",Table_NamedRanges[[#This Row],[Reference Text]],1))=FALSE)</f>
        <v>0</v>
      </c>
      <c r="J119" s="20">
        <f>(LEN(Table_NamedRanges[[#This Row],[Reference Text]])-LEN(SUBSTITUTE(Table_NamedRanges[[#This Row],[Reference Text]],",","")))/LEN(",")</f>
        <v>0</v>
      </c>
      <c r="K119" s="20" t="str">
        <f>IF(Table_NamedRanges[[#This Row],[Starts with '']]=FALSE,"Other",IF(AND(Table_NamedRanges[[#This Row],[Count of Colon ":"]]=0,Table_NamedRanges[[#This Row],[Count of ","]]=0),"Single Cell",IF(Table_NamedRanges[[#This Row],[Count of Colon ":"]]=1,"Single Range", "Multiple (Cell or Range)")))</f>
        <v>Single Range</v>
      </c>
    </row>
    <row r="120" spans="2:11" x14ac:dyDescent="0.25">
      <c r="B120" s="6" t="s">
        <v>455</v>
      </c>
      <c r="C120" s="8" t="s">
        <v>1152</v>
      </c>
      <c r="D120" s="18" t="str">
        <f ca="1">IFERROR(INDIRECT(Table_NamedRanges[[#This Row],[Named Range Paste]]),"Undefined/Error")</f>
        <v>Undefined/Error</v>
      </c>
      <c r="E120" s="18" t="str">
        <f>Table_NamedRanges[[#This Row],[Reference Paste]]</f>
        <v>='Travel Expense Summary'!$T$27:$T$37</v>
      </c>
      <c r="F120" s="18" t="b">
        <f ca="1">ISERROR(VLOOKUP(Table_NamedRanges[[#This Row],[Named Range Paste]],OFFSET(INDEX(Table_ErrorList[],1,1),0,MATCH(Table_ErrorList[[#Headers],[Attention To Named Range]],Table_ErrorList[#Headers],0)-1,ROWS(Table_ErrorList[]),1),1,FALSE))=FALSE</f>
        <v>0</v>
      </c>
      <c r="G120" s="20" t="b">
        <f>MID(Table_NamedRanges[[#This Row],[Reference Text]],2,1)="'"</f>
        <v>1</v>
      </c>
      <c r="H120" s="20">
        <f>(LEN(Table_NamedRanges[[#This Row],[Reference Text]])-LEN(SUBSTITUTE(Table_NamedRanges[[#This Row],[Reference Text]],":","")))/LEN(":")</f>
        <v>1</v>
      </c>
      <c r="I120" s="20" t="b">
        <f>OR(ISERROR(FIND("[",Table_NamedRanges[[#This Row],[Reference Text]],1))=FALSE,ISERROR(FIND("]",Table_NamedRanges[[#This Row],[Reference Text]],1))=FALSE)</f>
        <v>0</v>
      </c>
      <c r="J120" s="20">
        <f>(LEN(Table_NamedRanges[[#This Row],[Reference Text]])-LEN(SUBSTITUTE(Table_NamedRanges[[#This Row],[Reference Text]],",","")))/LEN(",")</f>
        <v>0</v>
      </c>
      <c r="K120" s="20" t="str">
        <f>IF(Table_NamedRanges[[#This Row],[Starts with '']]=FALSE,"Other",IF(AND(Table_NamedRanges[[#This Row],[Count of Colon ":"]]=0,Table_NamedRanges[[#This Row],[Count of ","]]=0),"Single Cell",IF(Table_NamedRanges[[#This Row],[Count of Colon ":"]]=1,"Single Range", "Multiple (Cell or Range)")))</f>
        <v>Single Range</v>
      </c>
    </row>
    <row r="121" spans="2:11" x14ac:dyDescent="0.25">
      <c r="B121" s="6" t="s">
        <v>861</v>
      </c>
      <c r="C121" s="8" t="s">
        <v>862</v>
      </c>
      <c r="D121" s="18" t="str">
        <f ca="1">IFERROR(INDIRECT(Table_NamedRanges[[#This Row],[Named Range Paste]]),"Undefined/Error")</f>
        <v>Undefined/Error</v>
      </c>
      <c r="E121" s="18" t="str">
        <f>Table_NamedRanges[[#This Row],[Reference Paste]]</f>
        <v>='Travel Expense Summary'!$Z$27:$Z$37</v>
      </c>
      <c r="F121" s="18" t="b">
        <f ca="1">ISERROR(VLOOKUP(Table_NamedRanges[[#This Row],[Named Range Paste]],OFFSET(INDEX(Table_ErrorList[],1,1),0,MATCH(Table_ErrorList[[#Headers],[Attention To Named Range]],Table_ErrorList[#Headers],0)-1,ROWS(Table_ErrorList[]),1),1,FALSE))=FALSE</f>
        <v>0</v>
      </c>
      <c r="G121" s="20" t="b">
        <f>MID(Table_NamedRanges[[#This Row],[Reference Text]],2,1)="'"</f>
        <v>1</v>
      </c>
      <c r="H121" s="20">
        <f>(LEN(Table_NamedRanges[[#This Row],[Reference Text]])-LEN(SUBSTITUTE(Table_NamedRanges[[#This Row],[Reference Text]],":","")))/LEN(":")</f>
        <v>1</v>
      </c>
      <c r="I121" s="20" t="b">
        <f>OR(ISERROR(FIND("[",Table_NamedRanges[[#This Row],[Reference Text]],1))=FALSE,ISERROR(FIND("]",Table_NamedRanges[[#This Row],[Reference Text]],1))=FALSE)</f>
        <v>0</v>
      </c>
      <c r="J121" s="20">
        <f>(LEN(Table_NamedRanges[[#This Row],[Reference Text]])-LEN(SUBSTITUTE(Table_NamedRanges[[#This Row],[Reference Text]],",","")))/LEN(",")</f>
        <v>0</v>
      </c>
      <c r="K121" s="20" t="str">
        <f>IF(Table_NamedRanges[[#This Row],[Starts with '']]=FALSE,"Other",IF(AND(Table_NamedRanges[[#This Row],[Count of Colon ":"]]=0,Table_NamedRanges[[#This Row],[Count of ","]]=0),"Single Cell",IF(Table_NamedRanges[[#This Row],[Count of Colon ":"]]=1,"Single Range", "Multiple (Cell or Range)")))</f>
        <v>Single Range</v>
      </c>
    </row>
    <row r="122" spans="2:11" x14ac:dyDescent="0.25">
      <c r="B122" s="6" t="s">
        <v>517</v>
      </c>
      <c r="C122" s="8" t="s">
        <v>518</v>
      </c>
      <c r="D122" s="18">
        <f ca="1">IFERROR(INDIRECT(Table_NamedRanges[[#This Row],[Named Range Paste]]),"Undefined/Error")</f>
        <v>0</v>
      </c>
      <c r="E122" s="18" t="str">
        <f>Table_NamedRanges[[#This Row],[Reference Paste]]</f>
        <v>='Travel Expense Summary'!$I$27</v>
      </c>
      <c r="F122" s="18" t="b">
        <f ca="1">ISERROR(VLOOKUP(Table_NamedRanges[[#This Row],[Named Range Paste]],OFFSET(INDEX(Table_ErrorList[],1,1),0,MATCH(Table_ErrorList[[#Headers],[Attention To Named Range]],Table_ErrorList[#Headers],0)-1,ROWS(Table_ErrorList[]),1),1,FALSE))=FALSE</f>
        <v>1</v>
      </c>
      <c r="G122" s="20" t="b">
        <f>MID(Table_NamedRanges[[#This Row],[Reference Text]],2,1)="'"</f>
        <v>1</v>
      </c>
      <c r="H122" s="20">
        <f>(LEN(Table_NamedRanges[[#This Row],[Reference Text]])-LEN(SUBSTITUTE(Table_NamedRanges[[#This Row],[Reference Text]],":","")))/LEN(":")</f>
        <v>0</v>
      </c>
      <c r="I122" s="20" t="b">
        <f>OR(ISERROR(FIND("[",Table_NamedRanges[[#This Row],[Reference Text]],1))=FALSE,ISERROR(FIND("]",Table_NamedRanges[[#This Row],[Reference Text]],1))=FALSE)</f>
        <v>0</v>
      </c>
      <c r="J122" s="20">
        <f>(LEN(Table_NamedRanges[[#This Row],[Reference Text]])-LEN(SUBSTITUTE(Table_NamedRanges[[#This Row],[Reference Text]],",","")))/LEN(",")</f>
        <v>0</v>
      </c>
      <c r="K122" s="20" t="str">
        <f>IF(Table_NamedRanges[[#This Row],[Starts with '']]=FALSE,"Other",IF(AND(Table_NamedRanges[[#This Row],[Count of Colon ":"]]=0,Table_NamedRanges[[#This Row],[Count of ","]]=0),"Single Cell",IF(Table_NamedRanges[[#This Row],[Count of Colon ":"]]=1,"Single Range", "Multiple (Cell or Range)")))</f>
        <v>Single Cell</v>
      </c>
    </row>
    <row r="123" spans="2:11" x14ac:dyDescent="0.25">
      <c r="B123" s="6" t="s">
        <v>519</v>
      </c>
      <c r="C123" s="8" t="s">
        <v>520</v>
      </c>
      <c r="D123" s="18">
        <f ca="1">IFERROR(INDIRECT(Table_NamedRanges[[#This Row],[Named Range Paste]]),"Undefined/Error")</f>
        <v>0</v>
      </c>
      <c r="E123" s="18" t="str">
        <f>Table_NamedRanges[[#This Row],[Reference Paste]]</f>
        <v>='Travel Expense Summary'!$I$28</v>
      </c>
      <c r="F123" s="18" t="b">
        <f ca="1">ISERROR(VLOOKUP(Table_NamedRanges[[#This Row],[Named Range Paste]],OFFSET(INDEX(Table_ErrorList[],1,1),0,MATCH(Table_ErrorList[[#Headers],[Attention To Named Range]],Table_ErrorList[#Headers],0)-1,ROWS(Table_ErrorList[]),1),1,FALSE))=FALSE</f>
        <v>1</v>
      </c>
      <c r="G123" s="20" t="b">
        <f>MID(Table_NamedRanges[[#This Row],[Reference Text]],2,1)="'"</f>
        <v>1</v>
      </c>
      <c r="H123" s="20">
        <f>(LEN(Table_NamedRanges[[#This Row],[Reference Text]])-LEN(SUBSTITUTE(Table_NamedRanges[[#This Row],[Reference Text]],":","")))/LEN(":")</f>
        <v>0</v>
      </c>
      <c r="I123" s="20" t="b">
        <f>OR(ISERROR(FIND("[",Table_NamedRanges[[#This Row],[Reference Text]],1))=FALSE,ISERROR(FIND("]",Table_NamedRanges[[#This Row],[Reference Text]],1))=FALSE)</f>
        <v>0</v>
      </c>
      <c r="J123" s="20">
        <f>(LEN(Table_NamedRanges[[#This Row],[Reference Text]])-LEN(SUBSTITUTE(Table_NamedRanges[[#This Row],[Reference Text]],",","")))/LEN(",")</f>
        <v>0</v>
      </c>
      <c r="K123" s="20" t="str">
        <f>IF(Table_NamedRanges[[#This Row],[Starts with '']]=FALSE,"Other",IF(AND(Table_NamedRanges[[#This Row],[Count of Colon ":"]]=0,Table_NamedRanges[[#This Row],[Count of ","]]=0),"Single Cell",IF(Table_NamedRanges[[#This Row],[Count of Colon ":"]]=1,"Single Range", "Multiple (Cell or Range)")))</f>
        <v>Single Cell</v>
      </c>
    </row>
    <row r="124" spans="2:11" x14ac:dyDescent="0.25">
      <c r="B124" s="6" t="s">
        <v>521</v>
      </c>
      <c r="C124" s="8" t="s">
        <v>522</v>
      </c>
      <c r="D124" s="18">
        <f ca="1">IFERROR(INDIRECT(Table_NamedRanges[[#This Row],[Named Range Paste]]),"Undefined/Error")</f>
        <v>0</v>
      </c>
      <c r="E124" s="18" t="str">
        <f>Table_NamedRanges[[#This Row],[Reference Paste]]</f>
        <v>='Travel Expense Summary'!$I$29</v>
      </c>
      <c r="F124" s="18" t="b">
        <f ca="1">ISERROR(VLOOKUP(Table_NamedRanges[[#This Row],[Named Range Paste]],OFFSET(INDEX(Table_ErrorList[],1,1),0,MATCH(Table_ErrorList[[#Headers],[Attention To Named Range]],Table_ErrorList[#Headers],0)-1,ROWS(Table_ErrorList[]),1),1,FALSE))=FALSE</f>
        <v>1</v>
      </c>
      <c r="G124" s="20" t="b">
        <f>MID(Table_NamedRanges[[#This Row],[Reference Text]],2,1)="'"</f>
        <v>1</v>
      </c>
      <c r="H124" s="20">
        <f>(LEN(Table_NamedRanges[[#This Row],[Reference Text]])-LEN(SUBSTITUTE(Table_NamedRanges[[#This Row],[Reference Text]],":","")))/LEN(":")</f>
        <v>0</v>
      </c>
      <c r="I124" s="20" t="b">
        <f>OR(ISERROR(FIND("[",Table_NamedRanges[[#This Row],[Reference Text]],1))=FALSE,ISERROR(FIND("]",Table_NamedRanges[[#This Row],[Reference Text]],1))=FALSE)</f>
        <v>0</v>
      </c>
      <c r="J124" s="20">
        <f>(LEN(Table_NamedRanges[[#This Row],[Reference Text]])-LEN(SUBSTITUTE(Table_NamedRanges[[#This Row],[Reference Text]],",","")))/LEN(",")</f>
        <v>0</v>
      </c>
      <c r="K124" s="20" t="str">
        <f>IF(Table_NamedRanges[[#This Row],[Starts with '']]=FALSE,"Other",IF(AND(Table_NamedRanges[[#This Row],[Count of Colon ":"]]=0,Table_NamedRanges[[#This Row],[Count of ","]]=0),"Single Cell",IF(Table_NamedRanges[[#This Row],[Count of Colon ":"]]=1,"Single Range", "Multiple (Cell or Range)")))</f>
        <v>Single Cell</v>
      </c>
    </row>
    <row r="125" spans="2:11" x14ac:dyDescent="0.25">
      <c r="B125" s="6" t="s">
        <v>523</v>
      </c>
      <c r="C125" s="8" t="s">
        <v>524</v>
      </c>
      <c r="D125" s="18">
        <f ca="1">IFERROR(INDIRECT(Table_NamedRanges[[#This Row],[Named Range Paste]]),"Undefined/Error")</f>
        <v>0</v>
      </c>
      <c r="E125" s="18" t="str">
        <f>Table_NamedRanges[[#This Row],[Reference Paste]]</f>
        <v>='Travel Expense Summary'!$I$30</v>
      </c>
      <c r="F125" s="18" t="b">
        <f ca="1">ISERROR(VLOOKUP(Table_NamedRanges[[#This Row],[Named Range Paste]],OFFSET(INDEX(Table_ErrorList[],1,1),0,MATCH(Table_ErrorList[[#Headers],[Attention To Named Range]],Table_ErrorList[#Headers],0)-1,ROWS(Table_ErrorList[]),1),1,FALSE))=FALSE</f>
        <v>1</v>
      </c>
      <c r="G125" s="20" t="b">
        <f>MID(Table_NamedRanges[[#This Row],[Reference Text]],2,1)="'"</f>
        <v>1</v>
      </c>
      <c r="H125" s="20">
        <f>(LEN(Table_NamedRanges[[#This Row],[Reference Text]])-LEN(SUBSTITUTE(Table_NamedRanges[[#This Row],[Reference Text]],":","")))/LEN(":")</f>
        <v>0</v>
      </c>
      <c r="I125" s="20" t="b">
        <f>OR(ISERROR(FIND("[",Table_NamedRanges[[#This Row],[Reference Text]],1))=FALSE,ISERROR(FIND("]",Table_NamedRanges[[#This Row],[Reference Text]],1))=FALSE)</f>
        <v>0</v>
      </c>
      <c r="J125" s="20">
        <f>(LEN(Table_NamedRanges[[#This Row],[Reference Text]])-LEN(SUBSTITUTE(Table_NamedRanges[[#This Row],[Reference Text]],",","")))/LEN(",")</f>
        <v>0</v>
      </c>
      <c r="K125" s="20" t="str">
        <f>IF(Table_NamedRanges[[#This Row],[Starts with '']]=FALSE,"Other",IF(AND(Table_NamedRanges[[#This Row],[Count of Colon ":"]]=0,Table_NamedRanges[[#This Row],[Count of ","]]=0),"Single Cell",IF(Table_NamedRanges[[#This Row],[Count of Colon ":"]]=1,"Single Range", "Multiple (Cell or Range)")))</f>
        <v>Single Cell</v>
      </c>
    </row>
    <row r="126" spans="2:11" x14ac:dyDescent="0.25">
      <c r="B126" s="6" t="s">
        <v>525</v>
      </c>
      <c r="C126" s="8" t="s">
        <v>526</v>
      </c>
      <c r="D126" s="18">
        <f ca="1">IFERROR(INDIRECT(Table_NamedRanges[[#This Row],[Named Range Paste]]),"Undefined/Error")</f>
        <v>0</v>
      </c>
      <c r="E126" s="18" t="str">
        <f>Table_NamedRanges[[#This Row],[Reference Paste]]</f>
        <v>='Travel Expense Summary'!$I$31</v>
      </c>
      <c r="F126" s="18" t="b">
        <f ca="1">ISERROR(VLOOKUP(Table_NamedRanges[[#This Row],[Named Range Paste]],OFFSET(INDEX(Table_ErrorList[],1,1),0,MATCH(Table_ErrorList[[#Headers],[Attention To Named Range]],Table_ErrorList[#Headers],0)-1,ROWS(Table_ErrorList[]),1),1,FALSE))=FALSE</f>
        <v>1</v>
      </c>
      <c r="G126" s="20" t="b">
        <f>MID(Table_NamedRanges[[#This Row],[Reference Text]],2,1)="'"</f>
        <v>1</v>
      </c>
      <c r="H126" s="20">
        <f>(LEN(Table_NamedRanges[[#This Row],[Reference Text]])-LEN(SUBSTITUTE(Table_NamedRanges[[#This Row],[Reference Text]],":","")))/LEN(":")</f>
        <v>0</v>
      </c>
      <c r="I126" s="20" t="b">
        <f>OR(ISERROR(FIND("[",Table_NamedRanges[[#This Row],[Reference Text]],1))=FALSE,ISERROR(FIND("]",Table_NamedRanges[[#This Row],[Reference Text]],1))=FALSE)</f>
        <v>0</v>
      </c>
      <c r="J126" s="20">
        <f>(LEN(Table_NamedRanges[[#This Row],[Reference Text]])-LEN(SUBSTITUTE(Table_NamedRanges[[#This Row],[Reference Text]],",","")))/LEN(",")</f>
        <v>0</v>
      </c>
      <c r="K126" s="20" t="str">
        <f>IF(Table_NamedRanges[[#This Row],[Starts with '']]=FALSE,"Other",IF(AND(Table_NamedRanges[[#This Row],[Count of Colon ":"]]=0,Table_NamedRanges[[#This Row],[Count of ","]]=0),"Single Cell",IF(Table_NamedRanges[[#This Row],[Count of Colon ":"]]=1,"Single Range", "Multiple (Cell or Range)")))</f>
        <v>Single Cell</v>
      </c>
    </row>
    <row r="127" spans="2:11" x14ac:dyDescent="0.25">
      <c r="B127" s="6" t="s">
        <v>527</v>
      </c>
      <c r="C127" s="8" t="s">
        <v>528</v>
      </c>
      <c r="D127" s="18">
        <f ca="1">IFERROR(INDIRECT(Table_NamedRanges[[#This Row],[Named Range Paste]]),"Undefined/Error")</f>
        <v>0</v>
      </c>
      <c r="E127" s="18" t="str">
        <f>Table_NamedRanges[[#This Row],[Reference Paste]]</f>
        <v>='Travel Expense Summary'!$I$32</v>
      </c>
      <c r="F127" s="18" t="b">
        <f ca="1">ISERROR(VLOOKUP(Table_NamedRanges[[#This Row],[Named Range Paste]],OFFSET(INDEX(Table_ErrorList[],1,1),0,MATCH(Table_ErrorList[[#Headers],[Attention To Named Range]],Table_ErrorList[#Headers],0)-1,ROWS(Table_ErrorList[]),1),1,FALSE))=FALSE</f>
        <v>1</v>
      </c>
      <c r="G127" s="20" t="b">
        <f>MID(Table_NamedRanges[[#This Row],[Reference Text]],2,1)="'"</f>
        <v>1</v>
      </c>
      <c r="H127" s="20">
        <f>(LEN(Table_NamedRanges[[#This Row],[Reference Text]])-LEN(SUBSTITUTE(Table_NamedRanges[[#This Row],[Reference Text]],":","")))/LEN(":")</f>
        <v>0</v>
      </c>
      <c r="I127" s="20" t="b">
        <f>OR(ISERROR(FIND("[",Table_NamedRanges[[#This Row],[Reference Text]],1))=FALSE,ISERROR(FIND("]",Table_NamedRanges[[#This Row],[Reference Text]],1))=FALSE)</f>
        <v>0</v>
      </c>
      <c r="J127" s="20">
        <f>(LEN(Table_NamedRanges[[#This Row],[Reference Text]])-LEN(SUBSTITUTE(Table_NamedRanges[[#This Row],[Reference Text]],",","")))/LEN(",")</f>
        <v>0</v>
      </c>
      <c r="K127" s="20" t="str">
        <f>IF(Table_NamedRanges[[#This Row],[Starts with '']]=FALSE,"Other",IF(AND(Table_NamedRanges[[#This Row],[Count of Colon ":"]]=0,Table_NamedRanges[[#This Row],[Count of ","]]=0),"Single Cell",IF(Table_NamedRanges[[#This Row],[Count of Colon ":"]]=1,"Single Range", "Multiple (Cell or Range)")))</f>
        <v>Single Cell</v>
      </c>
    </row>
    <row r="128" spans="2:11" x14ac:dyDescent="0.25">
      <c r="B128" s="6" t="s">
        <v>529</v>
      </c>
      <c r="C128" s="8" t="s">
        <v>530</v>
      </c>
      <c r="D128" s="18">
        <f ca="1">IFERROR(INDIRECT(Table_NamedRanges[[#This Row],[Named Range Paste]]),"Undefined/Error")</f>
        <v>0</v>
      </c>
      <c r="E128" s="18" t="str">
        <f>Table_NamedRanges[[#This Row],[Reference Paste]]</f>
        <v>='Travel Expense Summary'!$I$33</v>
      </c>
      <c r="F128" s="18" t="b">
        <f ca="1">ISERROR(VLOOKUP(Table_NamedRanges[[#This Row],[Named Range Paste]],OFFSET(INDEX(Table_ErrorList[],1,1),0,MATCH(Table_ErrorList[[#Headers],[Attention To Named Range]],Table_ErrorList[#Headers],0)-1,ROWS(Table_ErrorList[]),1),1,FALSE))=FALSE</f>
        <v>1</v>
      </c>
      <c r="G128" s="20" t="b">
        <f>MID(Table_NamedRanges[[#This Row],[Reference Text]],2,1)="'"</f>
        <v>1</v>
      </c>
      <c r="H128" s="20">
        <f>(LEN(Table_NamedRanges[[#This Row],[Reference Text]])-LEN(SUBSTITUTE(Table_NamedRanges[[#This Row],[Reference Text]],":","")))/LEN(":")</f>
        <v>0</v>
      </c>
      <c r="I128" s="20" t="b">
        <f>OR(ISERROR(FIND("[",Table_NamedRanges[[#This Row],[Reference Text]],1))=FALSE,ISERROR(FIND("]",Table_NamedRanges[[#This Row],[Reference Text]],1))=FALSE)</f>
        <v>0</v>
      </c>
      <c r="J128" s="20">
        <f>(LEN(Table_NamedRanges[[#This Row],[Reference Text]])-LEN(SUBSTITUTE(Table_NamedRanges[[#This Row],[Reference Text]],",","")))/LEN(",")</f>
        <v>0</v>
      </c>
      <c r="K128" s="20" t="str">
        <f>IF(Table_NamedRanges[[#This Row],[Starts with '']]=FALSE,"Other",IF(AND(Table_NamedRanges[[#This Row],[Count of Colon ":"]]=0,Table_NamedRanges[[#This Row],[Count of ","]]=0),"Single Cell",IF(Table_NamedRanges[[#This Row],[Count of Colon ":"]]=1,"Single Range", "Multiple (Cell or Range)")))</f>
        <v>Single Cell</v>
      </c>
    </row>
    <row r="129" spans="2:11" x14ac:dyDescent="0.25">
      <c r="B129" s="6" t="s">
        <v>531</v>
      </c>
      <c r="C129" s="8" t="s">
        <v>532</v>
      </c>
      <c r="D129" s="18">
        <f ca="1">IFERROR(INDIRECT(Table_NamedRanges[[#This Row],[Named Range Paste]]),"Undefined/Error")</f>
        <v>0</v>
      </c>
      <c r="E129" s="18" t="str">
        <f>Table_NamedRanges[[#This Row],[Reference Paste]]</f>
        <v>='Travel Expense Summary'!$I$34</v>
      </c>
      <c r="F129" s="18" t="b">
        <f ca="1">ISERROR(VLOOKUP(Table_NamedRanges[[#This Row],[Named Range Paste]],OFFSET(INDEX(Table_ErrorList[],1,1),0,MATCH(Table_ErrorList[[#Headers],[Attention To Named Range]],Table_ErrorList[#Headers],0)-1,ROWS(Table_ErrorList[]),1),1,FALSE))=FALSE</f>
        <v>1</v>
      </c>
      <c r="G129" s="20" t="b">
        <f>MID(Table_NamedRanges[[#This Row],[Reference Text]],2,1)="'"</f>
        <v>1</v>
      </c>
      <c r="H129" s="20">
        <f>(LEN(Table_NamedRanges[[#This Row],[Reference Text]])-LEN(SUBSTITUTE(Table_NamedRanges[[#This Row],[Reference Text]],":","")))/LEN(":")</f>
        <v>0</v>
      </c>
      <c r="I129" s="20" t="b">
        <f>OR(ISERROR(FIND("[",Table_NamedRanges[[#This Row],[Reference Text]],1))=FALSE,ISERROR(FIND("]",Table_NamedRanges[[#This Row],[Reference Text]],1))=FALSE)</f>
        <v>0</v>
      </c>
      <c r="J129" s="20">
        <f>(LEN(Table_NamedRanges[[#This Row],[Reference Text]])-LEN(SUBSTITUTE(Table_NamedRanges[[#This Row],[Reference Text]],",","")))/LEN(",")</f>
        <v>0</v>
      </c>
      <c r="K129" s="20" t="str">
        <f>IF(Table_NamedRanges[[#This Row],[Starts with '']]=FALSE,"Other",IF(AND(Table_NamedRanges[[#This Row],[Count of Colon ":"]]=0,Table_NamedRanges[[#This Row],[Count of ","]]=0),"Single Cell",IF(Table_NamedRanges[[#This Row],[Count of Colon ":"]]=1,"Single Range", "Multiple (Cell or Range)")))</f>
        <v>Single Cell</v>
      </c>
    </row>
    <row r="130" spans="2:11" x14ac:dyDescent="0.25">
      <c r="B130" s="6" t="s">
        <v>533</v>
      </c>
      <c r="C130" s="8" t="s">
        <v>534</v>
      </c>
      <c r="D130" s="18">
        <f ca="1">IFERROR(INDIRECT(Table_NamedRanges[[#This Row],[Named Range Paste]]),"Undefined/Error")</f>
        <v>0</v>
      </c>
      <c r="E130" s="18" t="str">
        <f>Table_NamedRanges[[#This Row],[Reference Paste]]</f>
        <v>='Travel Expense Summary'!$I$35</v>
      </c>
      <c r="F130" s="18" t="b">
        <f ca="1">ISERROR(VLOOKUP(Table_NamedRanges[[#This Row],[Named Range Paste]],OFFSET(INDEX(Table_ErrorList[],1,1),0,MATCH(Table_ErrorList[[#Headers],[Attention To Named Range]],Table_ErrorList[#Headers],0)-1,ROWS(Table_ErrorList[]),1),1,FALSE))=FALSE</f>
        <v>1</v>
      </c>
      <c r="G130" s="20" t="b">
        <f>MID(Table_NamedRanges[[#This Row],[Reference Text]],2,1)="'"</f>
        <v>1</v>
      </c>
      <c r="H130" s="20">
        <f>(LEN(Table_NamedRanges[[#This Row],[Reference Text]])-LEN(SUBSTITUTE(Table_NamedRanges[[#This Row],[Reference Text]],":","")))/LEN(":")</f>
        <v>0</v>
      </c>
      <c r="I130" s="20" t="b">
        <f>OR(ISERROR(FIND("[",Table_NamedRanges[[#This Row],[Reference Text]],1))=FALSE,ISERROR(FIND("]",Table_NamedRanges[[#This Row],[Reference Text]],1))=FALSE)</f>
        <v>0</v>
      </c>
      <c r="J130" s="20">
        <f>(LEN(Table_NamedRanges[[#This Row],[Reference Text]])-LEN(SUBSTITUTE(Table_NamedRanges[[#This Row],[Reference Text]],",","")))/LEN(",")</f>
        <v>0</v>
      </c>
      <c r="K130" s="20" t="str">
        <f>IF(Table_NamedRanges[[#This Row],[Starts with '']]=FALSE,"Other",IF(AND(Table_NamedRanges[[#This Row],[Count of Colon ":"]]=0,Table_NamedRanges[[#This Row],[Count of ","]]=0),"Single Cell",IF(Table_NamedRanges[[#This Row],[Count of Colon ":"]]=1,"Single Range", "Multiple (Cell or Range)")))</f>
        <v>Single Cell</v>
      </c>
    </row>
    <row r="131" spans="2:11" x14ac:dyDescent="0.25">
      <c r="B131" s="6" t="s">
        <v>535</v>
      </c>
      <c r="C131" s="8" t="s">
        <v>536</v>
      </c>
      <c r="D131" s="18">
        <f ca="1">IFERROR(INDIRECT(Table_NamedRanges[[#This Row],[Named Range Paste]]),"Undefined/Error")</f>
        <v>0</v>
      </c>
      <c r="E131" s="18" t="str">
        <f>Table_NamedRanges[[#This Row],[Reference Paste]]</f>
        <v>='Travel Expense Summary'!$I$36</v>
      </c>
      <c r="F131" s="18" t="b">
        <f ca="1">ISERROR(VLOOKUP(Table_NamedRanges[[#This Row],[Named Range Paste]],OFFSET(INDEX(Table_ErrorList[],1,1),0,MATCH(Table_ErrorList[[#Headers],[Attention To Named Range]],Table_ErrorList[#Headers],0)-1,ROWS(Table_ErrorList[]),1),1,FALSE))=FALSE</f>
        <v>1</v>
      </c>
      <c r="G131" s="20" t="b">
        <f>MID(Table_NamedRanges[[#This Row],[Reference Text]],2,1)="'"</f>
        <v>1</v>
      </c>
      <c r="H131" s="20">
        <f>(LEN(Table_NamedRanges[[#This Row],[Reference Text]])-LEN(SUBSTITUTE(Table_NamedRanges[[#This Row],[Reference Text]],":","")))/LEN(":")</f>
        <v>0</v>
      </c>
      <c r="I131" s="20" t="b">
        <f>OR(ISERROR(FIND("[",Table_NamedRanges[[#This Row],[Reference Text]],1))=FALSE,ISERROR(FIND("]",Table_NamedRanges[[#This Row],[Reference Text]],1))=FALSE)</f>
        <v>0</v>
      </c>
      <c r="J131" s="20">
        <f>(LEN(Table_NamedRanges[[#This Row],[Reference Text]])-LEN(SUBSTITUTE(Table_NamedRanges[[#This Row],[Reference Text]],",","")))/LEN(",")</f>
        <v>0</v>
      </c>
      <c r="K131" s="20" t="str">
        <f>IF(Table_NamedRanges[[#This Row],[Starts with '']]=FALSE,"Other",IF(AND(Table_NamedRanges[[#This Row],[Count of Colon ":"]]=0,Table_NamedRanges[[#This Row],[Count of ","]]=0),"Single Cell",IF(Table_NamedRanges[[#This Row],[Count of Colon ":"]]=1,"Single Range", "Multiple (Cell or Range)")))</f>
        <v>Single Cell</v>
      </c>
    </row>
    <row r="132" spans="2:11" x14ac:dyDescent="0.25">
      <c r="B132" s="6" t="s">
        <v>537</v>
      </c>
      <c r="C132" s="8" t="s">
        <v>538</v>
      </c>
      <c r="D132" s="18">
        <f ca="1">IFERROR(INDIRECT(Table_NamedRanges[[#This Row],[Named Range Paste]]),"Undefined/Error")</f>
        <v>0</v>
      </c>
      <c r="E132" s="18" t="str">
        <f>Table_NamedRanges[[#This Row],[Reference Paste]]</f>
        <v>='Travel Expense Summary'!$I$37</v>
      </c>
      <c r="F132" s="18" t="b">
        <f ca="1">ISERROR(VLOOKUP(Table_NamedRanges[[#This Row],[Named Range Paste]],OFFSET(INDEX(Table_ErrorList[],1,1),0,MATCH(Table_ErrorList[[#Headers],[Attention To Named Range]],Table_ErrorList[#Headers],0)-1,ROWS(Table_ErrorList[]),1),1,FALSE))=FALSE</f>
        <v>1</v>
      </c>
      <c r="G132" s="20" t="b">
        <f>MID(Table_NamedRanges[[#This Row],[Reference Text]],2,1)="'"</f>
        <v>1</v>
      </c>
      <c r="H132" s="20">
        <f>(LEN(Table_NamedRanges[[#This Row],[Reference Text]])-LEN(SUBSTITUTE(Table_NamedRanges[[#This Row],[Reference Text]],":","")))/LEN(":")</f>
        <v>0</v>
      </c>
      <c r="I132" s="20" t="b">
        <f>OR(ISERROR(FIND("[",Table_NamedRanges[[#This Row],[Reference Text]],1))=FALSE,ISERROR(FIND("]",Table_NamedRanges[[#This Row],[Reference Text]],1))=FALSE)</f>
        <v>0</v>
      </c>
      <c r="J132" s="20">
        <f>(LEN(Table_NamedRanges[[#This Row],[Reference Text]])-LEN(SUBSTITUTE(Table_NamedRanges[[#This Row],[Reference Text]],",","")))/LEN(",")</f>
        <v>0</v>
      </c>
      <c r="K132" s="20" t="str">
        <f>IF(Table_NamedRanges[[#This Row],[Starts with '']]=FALSE,"Other",IF(AND(Table_NamedRanges[[#This Row],[Count of Colon ":"]]=0,Table_NamedRanges[[#This Row],[Count of ","]]=0),"Single Cell",IF(Table_NamedRanges[[#This Row],[Count of Colon ":"]]=1,"Single Range", "Multiple (Cell or Range)")))</f>
        <v>Single Cell</v>
      </c>
    </row>
    <row r="133" spans="2:11" x14ac:dyDescent="0.25">
      <c r="B133" s="6" t="s">
        <v>573</v>
      </c>
      <c r="C133" s="8" t="s">
        <v>574</v>
      </c>
      <c r="D133" s="18">
        <f ca="1">IFERROR(INDIRECT(Table_NamedRanges[[#This Row],[Named Range Paste]]),"Undefined/Error")</f>
        <v>0</v>
      </c>
      <c r="E133" s="18" t="str">
        <f>Table_NamedRanges[[#This Row],[Reference Paste]]</f>
        <v>='Travel Expense Summary'!$M$27</v>
      </c>
      <c r="F133" s="18" t="b">
        <f ca="1">ISERROR(VLOOKUP(Table_NamedRanges[[#This Row],[Named Range Paste]],OFFSET(INDEX(Table_ErrorList[],1,1),0,MATCH(Table_ErrorList[[#Headers],[Attention To Named Range]],Table_ErrorList[#Headers],0)-1,ROWS(Table_ErrorList[]),1),1,FALSE))=FALSE</f>
        <v>1</v>
      </c>
      <c r="G133" s="20" t="b">
        <f>MID(Table_NamedRanges[[#This Row],[Reference Text]],2,1)="'"</f>
        <v>1</v>
      </c>
      <c r="H133" s="20">
        <f>(LEN(Table_NamedRanges[[#This Row],[Reference Text]])-LEN(SUBSTITUTE(Table_NamedRanges[[#This Row],[Reference Text]],":","")))/LEN(":")</f>
        <v>0</v>
      </c>
      <c r="I133" s="20" t="b">
        <f>OR(ISERROR(FIND("[",Table_NamedRanges[[#This Row],[Reference Text]],1))=FALSE,ISERROR(FIND("]",Table_NamedRanges[[#This Row],[Reference Text]],1))=FALSE)</f>
        <v>0</v>
      </c>
      <c r="J133" s="20">
        <f>(LEN(Table_NamedRanges[[#This Row],[Reference Text]])-LEN(SUBSTITUTE(Table_NamedRanges[[#This Row],[Reference Text]],",","")))/LEN(",")</f>
        <v>0</v>
      </c>
      <c r="K133" s="20" t="str">
        <f>IF(Table_NamedRanges[[#This Row],[Starts with '']]=FALSE,"Other",IF(AND(Table_NamedRanges[[#This Row],[Count of Colon ":"]]=0,Table_NamedRanges[[#This Row],[Count of ","]]=0),"Single Cell",IF(Table_NamedRanges[[#This Row],[Count of Colon ":"]]=1,"Single Range", "Multiple (Cell or Range)")))</f>
        <v>Single Cell</v>
      </c>
    </row>
    <row r="134" spans="2:11" x14ac:dyDescent="0.25">
      <c r="B134" s="6" t="s">
        <v>575</v>
      </c>
      <c r="C134" s="8" t="s">
        <v>576</v>
      </c>
      <c r="D134" s="18">
        <f ca="1">IFERROR(INDIRECT(Table_NamedRanges[[#This Row],[Named Range Paste]]),"Undefined/Error")</f>
        <v>0</v>
      </c>
      <c r="E134" s="18" t="str">
        <f>Table_NamedRanges[[#This Row],[Reference Paste]]</f>
        <v>='Travel Expense Summary'!$M$28</v>
      </c>
      <c r="F134" s="18" t="b">
        <f ca="1">ISERROR(VLOOKUP(Table_NamedRanges[[#This Row],[Named Range Paste]],OFFSET(INDEX(Table_ErrorList[],1,1),0,MATCH(Table_ErrorList[[#Headers],[Attention To Named Range]],Table_ErrorList[#Headers],0)-1,ROWS(Table_ErrorList[]),1),1,FALSE))=FALSE</f>
        <v>1</v>
      </c>
      <c r="G134" s="20" t="b">
        <f>MID(Table_NamedRanges[[#This Row],[Reference Text]],2,1)="'"</f>
        <v>1</v>
      </c>
      <c r="H134" s="20">
        <f>(LEN(Table_NamedRanges[[#This Row],[Reference Text]])-LEN(SUBSTITUTE(Table_NamedRanges[[#This Row],[Reference Text]],":","")))/LEN(":")</f>
        <v>0</v>
      </c>
      <c r="I134" s="20" t="b">
        <f>OR(ISERROR(FIND("[",Table_NamedRanges[[#This Row],[Reference Text]],1))=FALSE,ISERROR(FIND("]",Table_NamedRanges[[#This Row],[Reference Text]],1))=FALSE)</f>
        <v>0</v>
      </c>
      <c r="J134" s="20">
        <f>(LEN(Table_NamedRanges[[#This Row],[Reference Text]])-LEN(SUBSTITUTE(Table_NamedRanges[[#This Row],[Reference Text]],",","")))/LEN(",")</f>
        <v>0</v>
      </c>
      <c r="K134" s="20" t="str">
        <f>IF(Table_NamedRanges[[#This Row],[Starts with '']]=FALSE,"Other",IF(AND(Table_NamedRanges[[#This Row],[Count of Colon ":"]]=0,Table_NamedRanges[[#This Row],[Count of ","]]=0),"Single Cell",IF(Table_NamedRanges[[#This Row],[Count of Colon ":"]]=1,"Single Range", "Multiple (Cell or Range)")))</f>
        <v>Single Cell</v>
      </c>
    </row>
    <row r="135" spans="2:11" x14ac:dyDescent="0.25">
      <c r="B135" s="6" t="s">
        <v>577</v>
      </c>
      <c r="C135" s="8" t="s">
        <v>578</v>
      </c>
      <c r="D135" s="18">
        <f ca="1">IFERROR(INDIRECT(Table_NamedRanges[[#This Row],[Named Range Paste]]),"Undefined/Error")</f>
        <v>0</v>
      </c>
      <c r="E135" s="18" t="str">
        <f>Table_NamedRanges[[#This Row],[Reference Paste]]</f>
        <v>='Travel Expense Summary'!$M$29</v>
      </c>
      <c r="F135" s="18" t="b">
        <f ca="1">ISERROR(VLOOKUP(Table_NamedRanges[[#This Row],[Named Range Paste]],OFFSET(INDEX(Table_ErrorList[],1,1),0,MATCH(Table_ErrorList[[#Headers],[Attention To Named Range]],Table_ErrorList[#Headers],0)-1,ROWS(Table_ErrorList[]),1),1,FALSE))=FALSE</f>
        <v>1</v>
      </c>
      <c r="G135" s="20" t="b">
        <f>MID(Table_NamedRanges[[#This Row],[Reference Text]],2,1)="'"</f>
        <v>1</v>
      </c>
      <c r="H135" s="20">
        <f>(LEN(Table_NamedRanges[[#This Row],[Reference Text]])-LEN(SUBSTITUTE(Table_NamedRanges[[#This Row],[Reference Text]],":","")))/LEN(":")</f>
        <v>0</v>
      </c>
      <c r="I135" s="20" t="b">
        <f>OR(ISERROR(FIND("[",Table_NamedRanges[[#This Row],[Reference Text]],1))=FALSE,ISERROR(FIND("]",Table_NamedRanges[[#This Row],[Reference Text]],1))=FALSE)</f>
        <v>0</v>
      </c>
      <c r="J135" s="20">
        <f>(LEN(Table_NamedRanges[[#This Row],[Reference Text]])-LEN(SUBSTITUTE(Table_NamedRanges[[#This Row],[Reference Text]],",","")))/LEN(",")</f>
        <v>0</v>
      </c>
      <c r="K135" s="20" t="str">
        <f>IF(Table_NamedRanges[[#This Row],[Starts with '']]=FALSE,"Other",IF(AND(Table_NamedRanges[[#This Row],[Count of Colon ":"]]=0,Table_NamedRanges[[#This Row],[Count of ","]]=0),"Single Cell",IF(Table_NamedRanges[[#This Row],[Count of Colon ":"]]=1,"Single Range", "Multiple (Cell or Range)")))</f>
        <v>Single Cell</v>
      </c>
    </row>
    <row r="136" spans="2:11" x14ac:dyDescent="0.25">
      <c r="B136" s="6" t="s">
        <v>579</v>
      </c>
      <c r="C136" s="8" t="s">
        <v>580</v>
      </c>
      <c r="D136" s="18">
        <f ca="1">IFERROR(INDIRECT(Table_NamedRanges[[#This Row],[Named Range Paste]]),"Undefined/Error")</f>
        <v>0</v>
      </c>
      <c r="E136" s="18" t="str">
        <f>Table_NamedRanges[[#This Row],[Reference Paste]]</f>
        <v>='Travel Expense Summary'!$M$30</v>
      </c>
      <c r="F136" s="18" t="b">
        <f ca="1">ISERROR(VLOOKUP(Table_NamedRanges[[#This Row],[Named Range Paste]],OFFSET(INDEX(Table_ErrorList[],1,1),0,MATCH(Table_ErrorList[[#Headers],[Attention To Named Range]],Table_ErrorList[#Headers],0)-1,ROWS(Table_ErrorList[]),1),1,FALSE))=FALSE</f>
        <v>1</v>
      </c>
      <c r="G136" s="20" t="b">
        <f>MID(Table_NamedRanges[[#This Row],[Reference Text]],2,1)="'"</f>
        <v>1</v>
      </c>
      <c r="H136" s="20">
        <f>(LEN(Table_NamedRanges[[#This Row],[Reference Text]])-LEN(SUBSTITUTE(Table_NamedRanges[[#This Row],[Reference Text]],":","")))/LEN(":")</f>
        <v>0</v>
      </c>
      <c r="I136" s="20" t="b">
        <f>OR(ISERROR(FIND("[",Table_NamedRanges[[#This Row],[Reference Text]],1))=FALSE,ISERROR(FIND("]",Table_NamedRanges[[#This Row],[Reference Text]],1))=FALSE)</f>
        <v>0</v>
      </c>
      <c r="J136" s="20">
        <f>(LEN(Table_NamedRanges[[#This Row],[Reference Text]])-LEN(SUBSTITUTE(Table_NamedRanges[[#This Row],[Reference Text]],",","")))/LEN(",")</f>
        <v>0</v>
      </c>
      <c r="K136" s="20" t="str">
        <f>IF(Table_NamedRanges[[#This Row],[Starts with '']]=FALSE,"Other",IF(AND(Table_NamedRanges[[#This Row],[Count of Colon ":"]]=0,Table_NamedRanges[[#This Row],[Count of ","]]=0),"Single Cell",IF(Table_NamedRanges[[#This Row],[Count of Colon ":"]]=1,"Single Range", "Multiple (Cell or Range)")))</f>
        <v>Single Cell</v>
      </c>
    </row>
    <row r="137" spans="2:11" x14ac:dyDescent="0.25">
      <c r="B137" s="6" t="s">
        <v>581</v>
      </c>
      <c r="C137" s="8" t="s">
        <v>582</v>
      </c>
      <c r="D137" s="18">
        <f ca="1">IFERROR(INDIRECT(Table_NamedRanges[[#This Row],[Named Range Paste]]),"Undefined/Error")</f>
        <v>0</v>
      </c>
      <c r="E137" s="18" t="str">
        <f>Table_NamedRanges[[#This Row],[Reference Paste]]</f>
        <v>='Travel Expense Summary'!$M$31</v>
      </c>
      <c r="F137" s="18" t="b">
        <f ca="1">ISERROR(VLOOKUP(Table_NamedRanges[[#This Row],[Named Range Paste]],OFFSET(INDEX(Table_ErrorList[],1,1),0,MATCH(Table_ErrorList[[#Headers],[Attention To Named Range]],Table_ErrorList[#Headers],0)-1,ROWS(Table_ErrorList[]),1),1,FALSE))=FALSE</f>
        <v>1</v>
      </c>
      <c r="G137" s="20" t="b">
        <f>MID(Table_NamedRanges[[#This Row],[Reference Text]],2,1)="'"</f>
        <v>1</v>
      </c>
      <c r="H137" s="20">
        <f>(LEN(Table_NamedRanges[[#This Row],[Reference Text]])-LEN(SUBSTITUTE(Table_NamedRanges[[#This Row],[Reference Text]],":","")))/LEN(":")</f>
        <v>0</v>
      </c>
      <c r="I137" s="20" t="b">
        <f>OR(ISERROR(FIND("[",Table_NamedRanges[[#This Row],[Reference Text]],1))=FALSE,ISERROR(FIND("]",Table_NamedRanges[[#This Row],[Reference Text]],1))=FALSE)</f>
        <v>0</v>
      </c>
      <c r="J137" s="20">
        <f>(LEN(Table_NamedRanges[[#This Row],[Reference Text]])-LEN(SUBSTITUTE(Table_NamedRanges[[#This Row],[Reference Text]],",","")))/LEN(",")</f>
        <v>0</v>
      </c>
      <c r="K137" s="20" t="str">
        <f>IF(Table_NamedRanges[[#This Row],[Starts with '']]=FALSE,"Other",IF(AND(Table_NamedRanges[[#This Row],[Count of Colon ":"]]=0,Table_NamedRanges[[#This Row],[Count of ","]]=0),"Single Cell",IF(Table_NamedRanges[[#This Row],[Count of Colon ":"]]=1,"Single Range", "Multiple (Cell or Range)")))</f>
        <v>Single Cell</v>
      </c>
    </row>
    <row r="138" spans="2:11" x14ac:dyDescent="0.25">
      <c r="B138" s="6" t="s">
        <v>583</v>
      </c>
      <c r="C138" s="8" t="s">
        <v>584</v>
      </c>
      <c r="D138" s="18">
        <f ca="1">IFERROR(INDIRECT(Table_NamedRanges[[#This Row],[Named Range Paste]]),"Undefined/Error")</f>
        <v>0</v>
      </c>
      <c r="E138" s="18" t="str">
        <f>Table_NamedRanges[[#This Row],[Reference Paste]]</f>
        <v>='Travel Expense Summary'!$M$32</v>
      </c>
      <c r="F138" s="18" t="b">
        <f ca="1">ISERROR(VLOOKUP(Table_NamedRanges[[#This Row],[Named Range Paste]],OFFSET(INDEX(Table_ErrorList[],1,1),0,MATCH(Table_ErrorList[[#Headers],[Attention To Named Range]],Table_ErrorList[#Headers],0)-1,ROWS(Table_ErrorList[]),1),1,FALSE))=FALSE</f>
        <v>1</v>
      </c>
      <c r="G138" s="20" t="b">
        <f>MID(Table_NamedRanges[[#This Row],[Reference Text]],2,1)="'"</f>
        <v>1</v>
      </c>
      <c r="H138" s="20">
        <f>(LEN(Table_NamedRanges[[#This Row],[Reference Text]])-LEN(SUBSTITUTE(Table_NamedRanges[[#This Row],[Reference Text]],":","")))/LEN(":")</f>
        <v>0</v>
      </c>
      <c r="I138" s="20" t="b">
        <f>OR(ISERROR(FIND("[",Table_NamedRanges[[#This Row],[Reference Text]],1))=FALSE,ISERROR(FIND("]",Table_NamedRanges[[#This Row],[Reference Text]],1))=FALSE)</f>
        <v>0</v>
      </c>
      <c r="J138" s="20">
        <f>(LEN(Table_NamedRanges[[#This Row],[Reference Text]])-LEN(SUBSTITUTE(Table_NamedRanges[[#This Row],[Reference Text]],",","")))/LEN(",")</f>
        <v>0</v>
      </c>
      <c r="K138" s="20" t="str">
        <f>IF(Table_NamedRanges[[#This Row],[Starts with '']]=FALSE,"Other",IF(AND(Table_NamedRanges[[#This Row],[Count of Colon ":"]]=0,Table_NamedRanges[[#This Row],[Count of ","]]=0),"Single Cell",IF(Table_NamedRanges[[#This Row],[Count of Colon ":"]]=1,"Single Range", "Multiple (Cell or Range)")))</f>
        <v>Single Cell</v>
      </c>
    </row>
    <row r="139" spans="2:11" x14ac:dyDescent="0.25">
      <c r="B139" s="6" t="s">
        <v>585</v>
      </c>
      <c r="C139" s="8" t="s">
        <v>586</v>
      </c>
      <c r="D139" s="18">
        <f ca="1">IFERROR(INDIRECT(Table_NamedRanges[[#This Row],[Named Range Paste]]),"Undefined/Error")</f>
        <v>0</v>
      </c>
      <c r="E139" s="18" t="str">
        <f>Table_NamedRanges[[#This Row],[Reference Paste]]</f>
        <v>='Travel Expense Summary'!$M$33</v>
      </c>
      <c r="F139" s="18" t="b">
        <f ca="1">ISERROR(VLOOKUP(Table_NamedRanges[[#This Row],[Named Range Paste]],OFFSET(INDEX(Table_ErrorList[],1,1),0,MATCH(Table_ErrorList[[#Headers],[Attention To Named Range]],Table_ErrorList[#Headers],0)-1,ROWS(Table_ErrorList[]),1),1,FALSE))=FALSE</f>
        <v>1</v>
      </c>
      <c r="G139" s="20" t="b">
        <f>MID(Table_NamedRanges[[#This Row],[Reference Text]],2,1)="'"</f>
        <v>1</v>
      </c>
      <c r="H139" s="20">
        <f>(LEN(Table_NamedRanges[[#This Row],[Reference Text]])-LEN(SUBSTITUTE(Table_NamedRanges[[#This Row],[Reference Text]],":","")))/LEN(":")</f>
        <v>0</v>
      </c>
      <c r="I139" s="20" t="b">
        <f>OR(ISERROR(FIND("[",Table_NamedRanges[[#This Row],[Reference Text]],1))=FALSE,ISERROR(FIND("]",Table_NamedRanges[[#This Row],[Reference Text]],1))=FALSE)</f>
        <v>0</v>
      </c>
      <c r="J139" s="20">
        <f>(LEN(Table_NamedRanges[[#This Row],[Reference Text]])-LEN(SUBSTITUTE(Table_NamedRanges[[#This Row],[Reference Text]],",","")))/LEN(",")</f>
        <v>0</v>
      </c>
      <c r="K139" s="20" t="str">
        <f>IF(Table_NamedRanges[[#This Row],[Starts with '']]=FALSE,"Other",IF(AND(Table_NamedRanges[[#This Row],[Count of Colon ":"]]=0,Table_NamedRanges[[#This Row],[Count of ","]]=0),"Single Cell",IF(Table_NamedRanges[[#This Row],[Count of Colon ":"]]=1,"Single Range", "Multiple (Cell or Range)")))</f>
        <v>Single Cell</v>
      </c>
    </row>
    <row r="140" spans="2:11" x14ac:dyDescent="0.25">
      <c r="B140" s="6" t="s">
        <v>587</v>
      </c>
      <c r="C140" s="8" t="s">
        <v>588</v>
      </c>
      <c r="D140" s="18">
        <f ca="1">IFERROR(INDIRECT(Table_NamedRanges[[#This Row],[Named Range Paste]]),"Undefined/Error")</f>
        <v>0</v>
      </c>
      <c r="E140" s="18" t="str">
        <f>Table_NamedRanges[[#This Row],[Reference Paste]]</f>
        <v>='Travel Expense Summary'!$M$34</v>
      </c>
      <c r="F140" s="18" t="b">
        <f ca="1">ISERROR(VLOOKUP(Table_NamedRanges[[#This Row],[Named Range Paste]],OFFSET(INDEX(Table_ErrorList[],1,1),0,MATCH(Table_ErrorList[[#Headers],[Attention To Named Range]],Table_ErrorList[#Headers],0)-1,ROWS(Table_ErrorList[]),1),1,FALSE))=FALSE</f>
        <v>1</v>
      </c>
      <c r="G140" s="20" t="b">
        <f>MID(Table_NamedRanges[[#This Row],[Reference Text]],2,1)="'"</f>
        <v>1</v>
      </c>
      <c r="H140" s="20">
        <f>(LEN(Table_NamedRanges[[#This Row],[Reference Text]])-LEN(SUBSTITUTE(Table_NamedRanges[[#This Row],[Reference Text]],":","")))/LEN(":")</f>
        <v>0</v>
      </c>
      <c r="I140" s="20" t="b">
        <f>OR(ISERROR(FIND("[",Table_NamedRanges[[#This Row],[Reference Text]],1))=FALSE,ISERROR(FIND("]",Table_NamedRanges[[#This Row],[Reference Text]],1))=FALSE)</f>
        <v>0</v>
      </c>
      <c r="J140" s="20">
        <f>(LEN(Table_NamedRanges[[#This Row],[Reference Text]])-LEN(SUBSTITUTE(Table_NamedRanges[[#This Row],[Reference Text]],",","")))/LEN(",")</f>
        <v>0</v>
      </c>
      <c r="K140" s="20" t="str">
        <f>IF(Table_NamedRanges[[#This Row],[Starts with '']]=FALSE,"Other",IF(AND(Table_NamedRanges[[#This Row],[Count of Colon ":"]]=0,Table_NamedRanges[[#This Row],[Count of ","]]=0),"Single Cell",IF(Table_NamedRanges[[#This Row],[Count of Colon ":"]]=1,"Single Range", "Multiple (Cell or Range)")))</f>
        <v>Single Cell</v>
      </c>
    </row>
    <row r="141" spans="2:11" x14ac:dyDescent="0.25">
      <c r="B141" s="6" t="s">
        <v>589</v>
      </c>
      <c r="C141" s="8" t="s">
        <v>590</v>
      </c>
      <c r="D141" s="18">
        <f ca="1">IFERROR(INDIRECT(Table_NamedRanges[[#This Row],[Named Range Paste]]),"Undefined/Error")</f>
        <v>0</v>
      </c>
      <c r="E141" s="18" t="str">
        <f>Table_NamedRanges[[#This Row],[Reference Paste]]</f>
        <v>='Travel Expense Summary'!$M$35</v>
      </c>
      <c r="F141" s="18" t="b">
        <f ca="1">ISERROR(VLOOKUP(Table_NamedRanges[[#This Row],[Named Range Paste]],OFFSET(INDEX(Table_ErrorList[],1,1),0,MATCH(Table_ErrorList[[#Headers],[Attention To Named Range]],Table_ErrorList[#Headers],0)-1,ROWS(Table_ErrorList[]),1),1,FALSE))=FALSE</f>
        <v>1</v>
      </c>
      <c r="G141" s="20" t="b">
        <f>MID(Table_NamedRanges[[#This Row],[Reference Text]],2,1)="'"</f>
        <v>1</v>
      </c>
      <c r="H141" s="20">
        <f>(LEN(Table_NamedRanges[[#This Row],[Reference Text]])-LEN(SUBSTITUTE(Table_NamedRanges[[#This Row],[Reference Text]],":","")))/LEN(":")</f>
        <v>0</v>
      </c>
      <c r="I141" s="20" t="b">
        <f>OR(ISERROR(FIND("[",Table_NamedRanges[[#This Row],[Reference Text]],1))=FALSE,ISERROR(FIND("]",Table_NamedRanges[[#This Row],[Reference Text]],1))=FALSE)</f>
        <v>0</v>
      </c>
      <c r="J141" s="20">
        <f>(LEN(Table_NamedRanges[[#This Row],[Reference Text]])-LEN(SUBSTITUTE(Table_NamedRanges[[#This Row],[Reference Text]],",","")))/LEN(",")</f>
        <v>0</v>
      </c>
      <c r="K141" s="20" t="str">
        <f>IF(Table_NamedRanges[[#This Row],[Starts with '']]=FALSE,"Other",IF(AND(Table_NamedRanges[[#This Row],[Count of Colon ":"]]=0,Table_NamedRanges[[#This Row],[Count of ","]]=0),"Single Cell",IF(Table_NamedRanges[[#This Row],[Count of Colon ":"]]=1,"Single Range", "Multiple (Cell or Range)")))</f>
        <v>Single Cell</v>
      </c>
    </row>
    <row r="142" spans="2:11" x14ac:dyDescent="0.25">
      <c r="B142" s="6" t="s">
        <v>591</v>
      </c>
      <c r="C142" s="8" t="s">
        <v>592</v>
      </c>
      <c r="D142" s="18">
        <f ca="1">IFERROR(INDIRECT(Table_NamedRanges[[#This Row],[Named Range Paste]]),"Undefined/Error")</f>
        <v>0</v>
      </c>
      <c r="E142" s="18" t="str">
        <f>Table_NamedRanges[[#This Row],[Reference Paste]]</f>
        <v>='Travel Expense Summary'!$M$36</v>
      </c>
      <c r="F142" s="18" t="b">
        <f ca="1">ISERROR(VLOOKUP(Table_NamedRanges[[#This Row],[Named Range Paste]],OFFSET(INDEX(Table_ErrorList[],1,1),0,MATCH(Table_ErrorList[[#Headers],[Attention To Named Range]],Table_ErrorList[#Headers],0)-1,ROWS(Table_ErrorList[]),1),1,FALSE))=FALSE</f>
        <v>1</v>
      </c>
      <c r="G142" s="20" t="b">
        <f>MID(Table_NamedRanges[[#This Row],[Reference Text]],2,1)="'"</f>
        <v>1</v>
      </c>
      <c r="H142" s="20">
        <f>(LEN(Table_NamedRanges[[#This Row],[Reference Text]])-LEN(SUBSTITUTE(Table_NamedRanges[[#This Row],[Reference Text]],":","")))/LEN(":")</f>
        <v>0</v>
      </c>
      <c r="I142" s="20" t="b">
        <f>OR(ISERROR(FIND("[",Table_NamedRanges[[#This Row],[Reference Text]],1))=FALSE,ISERROR(FIND("]",Table_NamedRanges[[#This Row],[Reference Text]],1))=FALSE)</f>
        <v>0</v>
      </c>
      <c r="J142" s="20">
        <f>(LEN(Table_NamedRanges[[#This Row],[Reference Text]])-LEN(SUBSTITUTE(Table_NamedRanges[[#This Row],[Reference Text]],",","")))/LEN(",")</f>
        <v>0</v>
      </c>
      <c r="K142" s="20" t="str">
        <f>IF(Table_NamedRanges[[#This Row],[Starts with '']]=FALSE,"Other",IF(AND(Table_NamedRanges[[#This Row],[Count of Colon ":"]]=0,Table_NamedRanges[[#This Row],[Count of ","]]=0),"Single Cell",IF(Table_NamedRanges[[#This Row],[Count of Colon ":"]]=1,"Single Range", "Multiple (Cell or Range)")))</f>
        <v>Single Cell</v>
      </c>
    </row>
    <row r="143" spans="2:11" x14ac:dyDescent="0.25">
      <c r="B143" s="6" t="s">
        <v>593</v>
      </c>
      <c r="C143" s="8" t="s">
        <v>594</v>
      </c>
      <c r="D143" s="18">
        <f ca="1">IFERROR(INDIRECT(Table_NamedRanges[[#This Row],[Named Range Paste]]),"Undefined/Error")</f>
        <v>0</v>
      </c>
      <c r="E143" s="18" t="str">
        <f>Table_NamedRanges[[#This Row],[Reference Paste]]</f>
        <v>='Travel Expense Summary'!$M$37</v>
      </c>
      <c r="F143" s="18" t="b">
        <f ca="1">ISERROR(VLOOKUP(Table_NamedRanges[[#This Row],[Named Range Paste]],OFFSET(INDEX(Table_ErrorList[],1,1),0,MATCH(Table_ErrorList[[#Headers],[Attention To Named Range]],Table_ErrorList[#Headers],0)-1,ROWS(Table_ErrorList[]),1),1,FALSE))=FALSE</f>
        <v>1</v>
      </c>
      <c r="G143" s="20" t="b">
        <f>MID(Table_NamedRanges[[#This Row],[Reference Text]],2,1)="'"</f>
        <v>1</v>
      </c>
      <c r="H143" s="20">
        <f>(LEN(Table_NamedRanges[[#This Row],[Reference Text]])-LEN(SUBSTITUTE(Table_NamedRanges[[#This Row],[Reference Text]],":","")))/LEN(":")</f>
        <v>0</v>
      </c>
      <c r="I143" s="20" t="b">
        <f>OR(ISERROR(FIND("[",Table_NamedRanges[[#This Row],[Reference Text]],1))=FALSE,ISERROR(FIND("]",Table_NamedRanges[[#This Row],[Reference Text]],1))=FALSE)</f>
        <v>0</v>
      </c>
      <c r="J143" s="20">
        <f>(LEN(Table_NamedRanges[[#This Row],[Reference Text]])-LEN(SUBSTITUTE(Table_NamedRanges[[#This Row],[Reference Text]],",","")))/LEN(",")</f>
        <v>0</v>
      </c>
      <c r="K143" s="20" t="str">
        <f>IF(Table_NamedRanges[[#This Row],[Starts with '']]=FALSE,"Other",IF(AND(Table_NamedRanges[[#This Row],[Count of Colon ":"]]=0,Table_NamedRanges[[#This Row],[Count of ","]]=0),"Single Cell",IF(Table_NamedRanges[[#This Row],[Count of Colon ":"]]=1,"Single Range", "Multiple (Cell or Range)")))</f>
        <v>Single Cell</v>
      </c>
    </row>
    <row r="144" spans="2:11" x14ac:dyDescent="0.25">
      <c r="B144" s="6" t="s">
        <v>571</v>
      </c>
      <c r="C144" s="8" t="s">
        <v>595</v>
      </c>
      <c r="D144" s="18">
        <f ca="1">IFERROR(INDIRECT(Table_NamedRanges[[#This Row],[Named Range Paste]]),"Undefined/Error")</f>
        <v>0</v>
      </c>
      <c r="E144" s="18" t="str">
        <f>Table_NamedRanges[[#This Row],[Reference Paste]]</f>
        <v>='Travel Expense Summary'!$K$27</v>
      </c>
      <c r="F144" s="18" t="b">
        <f ca="1">ISERROR(VLOOKUP(Table_NamedRanges[[#This Row],[Named Range Paste]],OFFSET(INDEX(Table_ErrorList[],1,1),0,MATCH(Table_ErrorList[[#Headers],[Attention To Named Range]],Table_ErrorList[#Headers],0)-1,ROWS(Table_ErrorList[]),1),1,FALSE))=FALSE</f>
        <v>1</v>
      </c>
      <c r="G144" s="20" t="b">
        <f>MID(Table_NamedRanges[[#This Row],[Reference Text]],2,1)="'"</f>
        <v>1</v>
      </c>
      <c r="H144" s="20">
        <f>(LEN(Table_NamedRanges[[#This Row],[Reference Text]])-LEN(SUBSTITUTE(Table_NamedRanges[[#This Row],[Reference Text]],":","")))/LEN(":")</f>
        <v>0</v>
      </c>
      <c r="I144" s="20" t="b">
        <f>OR(ISERROR(FIND("[",Table_NamedRanges[[#This Row],[Reference Text]],1))=FALSE,ISERROR(FIND("]",Table_NamedRanges[[#This Row],[Reference Text]],1))=FALSE)</f>
        <v>0</v>
      </c>
      <c r="J144" s="20">
        <f>(LEN(Table_NamedRanges[[#This Row],[Reference Text]])-LEN(SUBSTITUTE(Table_NamedRanges[[#This Row],[Reference Text]],",","")))/LEN(",")</f>
        <v>0</v>
      </c>
      <c r="K144" s="20" t="str">
        <f>IF(Table_NamedRanges[[#This Row],[Starts with '']]=FALSE,"Other",IF(AND(Table_NamedRanges[[#This Row],[Count of Colon ":"]]=0,Table_NamedRanges[[#This Row],[Count of ","]]=0),"Single Cell",IF(Table_NamedRanges[[#This Row],[Count of Colon ":"]]=1,"Single Range", "Multiple (Cell or Range)")))</f>
        <v>Single Cell</v>
      </c>
    </row>
    <row r="145" spans="2:11" x14ac:dyDescent="0.25">
      <c r="B145" s="6" t="s">
        <v>596</v>
      </c>
      <c r="C145" s="8" t="s">
        <v>597</v>
      </c>
      <c r="D145" s="18">
        <f ca="1">IFERROR(INDIRECT(Table_NamedRanges[[#This Row],[Named Range Paste]]),"Undefined/Error")</f>
        <v>0</v>
      </c>
      <c r="E145" s="18" t="str">
        <f>Table_NamedRanges[[#This Row],[Reference Paste]]</f>
        <v>='Travel Expense Summary'!$K$28</v>
      </c>
      <c r="F145" s="18" t="b">
        <f ca="1">ISERROR(VLOOKUP(Table_NamedRanges[[#This Row],[Named Range Paste]],OFFSET(INDEX(Table_ErrorList[],1,1),0,MATCH(Table_ErrorList[[#Headers],[Attention To Named Range]],Table_ErrorList[#Headers],0)-1,ROWS(Table_ErrorList[]),1),1,FALSE))=FALSE</f>
        <v>1</v>
      </c>
      <c r="G145" s="20" t="b">
        <f>MID(Table_NamedRanges[[#This Row],[Reference Text]],2,1)="'"</f>
        <v>1</v>
      </c>
      <c r="H145" s="20">
        <f>(LEN(Table_NamedRanges[[#This Row],[Reference Text]])-LEN(SUBSTITUTE(Table_NamedRanges[[#This Row],[Reference Text]],":","")))/LEN(":")</f>
        <v>0</v>
      </c>
      <c r="I145" s="20" t="b">
        <f>OR(ISERROR(FIND("[",Table_NamedRanges[[#This Row],[Reference Text]],1))=FALSE,ISERROR(FIND("]",Table_NamedRanges[[#This Row],[Reference Text]],1))=FALSE)</f>
        <v>0</v>
      </c>
      <c r="J145" s="20">
        <f>(LEN(Table_NamedRanges[[#This Row],[Reference Text]])-LEN(SUBSTITUTE(Table_NamedRanges[[#This Row],[Reference Text]],",","")))/LEN(",")</f>
        <v>0</v>
      </c>
      <c r="K145" s="20" t="str">
        <f>IF(Table_NamedRanges[[#This Row],[Starts with '']]=FALSE,"Other",IF(AND(Table_NamedRanges[[#This Row],[Count of Colon ":"]]=0,Table_NamedRanges[[#This Row],[Count of ","]]=0),"Single Cell",IF(Table_NamedRanges[[#This Row],[Count of Colon ":"]]=1,"Single Range", "Multiple (Cell or Range)")))</f>
        <v>Single Cell</v>
      </c>
    </row>
    <row r="146" spans="2:11" x14ac:dyDescent="0.25">
      <c r="B146" s="6" t="s">
        <v>598</v>
      </c>
      <c r="C146" s="8" t="s">
        <v>599</v>
      </c>
      <c r="D146" s="18">
        <f ca="1">IFERROR(INDIRECT(Table_NamedRanges[[#This Row],[Named Range Paste]]),"Undefined/Error")</f>
        <v>0</v>
      </c>
      <c r="E146" s="18" t="str">
        <f>Table_NamedRanges[[#This Row],[Reference Paste]]</f>
        <v>='Travel Expense Summary'!$K$29</v>
      </c>
      <c r="F146" s="18" t="b">
        <f ca="1">ISERROR(VLOOKUP(Table_NamedRanges[[#This Row],[Named Range Paste]],OFFSET(INDEX(Table_ErrorList[],1,1),0,MATCH(Table_ErrorList[[#Headers],[Attention To Named Range]],Table_ErrorList[#Headers],0)-1,ROWS(Table_ErrorList[]),1),1,FALSE))=FALSE</f>
        <v>1</v>
      </c>
      <c r="G146" s="20" t="b">
        <f>MID(Table_NamedRanges[[#This Row],[Reference Text]],2,1)="'"</f>
        <v>1</v>
      </c>
      <c r="H146" s="20">
        <f>(LEN(Table_NamedRanges[[#This Row],[Reference Text]])-LEN(SUBSTITUTE(Table_NamedRanges[[#This Row],[Reference Text]],":","")))/LEN(":")</f>
        <v>0</v>
      </c>
      <c r="I146" s="20" t="b">
        <f>OR(ISERROR(FIND("[",Table_NamedRanges[[#This Row],[Reference Text]],1))=FALSE,ISERROR(FIND("]",Table_NamedRanges[[#This Row],[Reference Text]],1))=FALSE)</f>
        <v>0</v>
      </c>
      <c r="J146" s="20">
        <f>(LEN(Table_NamedRanges[[#This Row],[Reference Text]])-LEN(SUBSTITUTE(Table_NamedRanges[[#This Row],[Reference Text]],",","")))/LEN(",")</f>
        <v>0</v>
      </c>
      <c r="K146" s="20" t="str">
        <f>IF(Table_NamedRanges[[#This Row],[Starts with '']]=FALSE,"Other",IF(AND(Table_NamedRanges[[#This Row],[Count of Colon ":"]]=0,Table_NamedRanges[[#This Row],[Count of ","]]=0),"Single Cell",IF(Table_NamedRanges[[#This Row],[Count of Colon ":"]]=1,"Single Range", "Multiple (Cell or Range)")))</f>
        <v>Single Cell</v>
      </c>
    </row>
    <row r="147" spans="2:11" x14ac:dyDescent="0.25">
      <c r="B147" s="6" t="s">
        <v>600</v>
      </c>
      <c r="C147" s="8" t="s">
        <v>601</v>
      </c>
      <c r="D147" s="18">
        <f ca="1">IFERROR(INDIRECT(Table_NamedRanges[[#This Row],[Named Range Paste]]),"Undefined/Error")</f>
        <v>0</v>
      </c>
      <c r="E147" s="18" t="str">
        <f>Table_NamedRanges[[#This Row],[Reference Paste]]</f>
        <v>='Travel Expense Summary'!$K$30</v>
      </c>
      <c r="F147" s="18" t="b">
        <f ca="1">ISERROR(VLOOKUP(Table_NamedRanges[[#This Row],[Named Range Paste]],OFFSET(INDEX(Table_ErrorList[],1,1),0,MATCH(Table_ErrorList[[#Headers],[Attention To Named Range]],Table_ErrorList[#Headers],0)-1,ROWS(Table_ErrorList[]),1),1,FALSE))=FALSE</f>
        <v>1</v>
      </c>
      <c r="G147" s="20" t="b">
        <f>MID(Table_NamedRanges[[#This Row],[Reference Text]],2,1)="'"</f>
        <v>1</v>
      </c>
      <c r="H147" s="20">
        <f>(LEN(Table_NamedRanges[[#This Row],[Reference Text]])-LEN(SUBSTITUTE(Table_NamedRanges[[#This Row],[Reference Text]],":","")))/LEN(":")</f>
        <v>0</v>
      </c>
      <c r="I147" s="20" t="b">
        <f>OR(ISERROR(FIND("[",Table_NamedRanges[[#This Row],[Reference Text]],1))=FALSE,ISERROR(FIND("]",Table_NamedRanges[[#This Row],[Reference Text]],1))=FALSE)</f>
        <v>0</v>
      </c>
      <c r="J147" s="20">
        <f>(LEN(Table_NamedRanges[[#This Row],[Reference Text]])-LEN(SUBSTITUTE(Table_NamedRanges[[#This Row],[Reference Text]],",","")))/LEN(",")</f>
        <v>0</v>
      </c>
      <c r="K147" s="20" t="str">
        <f>IF(Table_NamedRanges[[#This Row],[Starts with '']]=FALSE,"Other",IF(AND(Table_NamedRanges[[#This Row],[Count of Colon ":"]]=0,Table_NamedRanges[[#This Row],[Count of ","]]=0),"Single Cell",IF(Table_NamedRanges[[#This Row],[Count of Colon ":"]]=1,"Single Range", "Multiple (Cell or Range)")))</f>
        <v>Single Cell</v>
      </c>
    </row>
    <row r="148" spans="2:11" x14ac:dyDescent="0.25">
      <c r="B148" s="6" t="s">
        <v>602</v>
      </c>
      <c r="C148" s="8" t="s">
        <v>603</v>
      </c>
      <c r="D148" s="18">
        <f ca="1">IFERROR(INDIRECT(Table_NamedRanges[[#This Row],[Named Range Paste]]),"Undefined/Error")</f>
        <v>0</v>
      </c>
      <c r="E148" s="18" t="str">
        <f>Table_NamedRanges[[#This Row],[Reference Paste]]</f>
        <v>='Travel Expense Summary'!$K$31</v>
      </c>
      <c r="F148" s="18" t="b">
        <f ca="1">ISERROR(VLOOKUP(Table_NamedRanges[[#This Row],[Named Range Paste]],OFFSET(INDEX(Table_ErrorList[],1,1),0,MATCH(Table_ErrorList[[#Headers],[Attention To Named Range]],Table_ErrorList[#Headers],0)-1,ROWS(Table_ErrorList[]),1),1,FALSE))=FALSE</f>
        <v>1</v>
      </c>
      <c r="G148" s="20" t="b">
        <f>MID(Table_NamedRanges[[#This Row],[Reference Text]],2,1)="'"</f>
        <v>1</v>
      </c>
      <c r="H148" s="20">
        <f>(LEN(Table_NamedRanges[[#This Row],[Reference Text]])-LEN(SUBSTITUTE(Table_NamedRanges[[#This Row],[Reference Text]],":","")))/LEN(":")</f>
        <v>0</v>
      </c>
      <c r="I148" s="20" t="b">
        <f>OR(ISERROR(FIND("[",Table_NamedRanges[[#This Row],[Reference Text]],1))=FALSE,ISERROR(FIND("]",Table_NamedRanges[[#This Row],[Reference Text]],1))=FALSE)</f>
        <v>0</v>
      </c>
      <c r="J148" s="20">
        <f>(LEN(Table_NamedRanges[[#This Row],[Reference Text]])-LEN(SUBSTITUTE(Table_NamedRanges[[#This Row],[Reference Text]],",","")))/LEN(",")</f>
        <v>0</v>
      </c>
      <c r="K148" s="20" t="str">
        <f>IF(Table_NamedRanges[[#This Row],[Starts with '']]=FALSE,"Other",IF(AND(Table_NamedRanges[[#This Row],[Count of Colon ":"]]=0,Table_NamedRanges[[#This Row],[Count of ","]]=0),"Single Cell",IF(Table_NamedRanges[[#This Row],[Count of Colon ":"]]=1,"Single Range", "Multiple (Cell or Range)")))</f>
        <v>Single Cell</v>
      </c>
    </row>
    <row r="149" spans="2:11" x14ac:dyDescent="0.25">
      <c r="B149" s="6" t="s">
        <v>604</v>
      </c>
      <c r="C149" s="8" t="s">
        <v>605</v>
      </c>
      <c r="D149" s="18">
        <f ca="1">IFERROR(INDIRECT(Table_NamedRanges[[#This Row],[Named Range Paste]]),"Undefined/Error")</f>
        <v>0</v>
      </c>
      <c r="E149" s="18" t="str">
        <f>Table_NamedRanges[[#This Row],[Reference Paste]]</f>
        <v>='Travel Expense Summary'!$K$32</v>
      </c>
      <c r="F149" s="18" t="b">
        <f ca="1">ISERROR(VLOOKUP(Table_NamedRanges[[#This Row],[Named Range Paste]],OFFSET(INDEX(Table_ErrorList[],1,1),0,MATCH(Table_ErrorList[[#Headers],[Attention To Named Range]],Table_ErrorList[#Headers],0)-1,ROWS(Table_ErrorList[]),1),1,FALSE))=FALSE</f>
        <v>1</v>
      </c>
      <c r="G149" s="20" t="b">
        <f>MID(Table_NamedRanges[[#This Row],[Reference Text]],2,1)="'"</f>
        <v>1</v>
      </c>
      <c r="H149" s="20">
        <f>(LEN(Table_NamedRanges[[#This Row],[Reference Text]])-LEN(SUBSTITUTE(Table_NamedRanges[[#This Row],[Reference Text]],":","")))/LEN(":")</f>
        <v>0</v>
      </c>
      <c r="I149" s="20" t="b">
        <f>OR(ISERROR(FIND("[",Table_NamedRanges[[#This Row],[Reference Text]],1))=FALSE,ISERROR(FIND("]",Table_NamedRanges[[#This Row],[Reference Text]],1))=FALSE)</f>
        <v>0</v>
      </c>
      <c r="J149" s="20">
        <f>(LEN(Table_NamedRanges[[#This Row],[Reference Text]])-LEN(SUBSTITUTE(Table_NamedRanges[[#This Row],[Reference Text]],",","")))/LEN(",")</f>
        <v>0</v>
      </c>
      <c r="K149" s="20" t="str">
        <f>IF(Table_NamedRanges[[#This Row],[Starts with '']]=FALSE,"Other",IF(AND(Table_NamedRanges[[#This Row],[Count of Colon ":"]]=0,Table_NamedRanges[[#This Row],[Count of ","]]=0),"Single Cell",IF(Table_NamedRanges[[#This Row],[Count of Colon ":"]]=1,"Single Range", "Multiple (Cell or Range)")))</f>
        <v>Single Cell</v>
      </c>
    </row>
    <row r="150" spans="2:11" x14ac:dyDescent="0.25">
      <c r="B150" s="6" t="s">
        <v>606</v>
      </c>
      <c r="C150" s="8" t="s">
        <v>607</v>
      </c>
      <c r="D150" s="18">
        <f ca="1">IFERROR(INDIRECT(Table_NamedRanges[[#This Row],[Named Range Paste]]),"Undefined/Error")</f>
        <v>0</v>
      </c>
      <c r="E150" s="18" t="str">
        <f>Table_NamedRanges[[#This Row],[Reference Paste]]</f>
        <v>='Travel Expense Summary'!$K$33</v>
      </c>
      <c r="F150" s="18" t="b">
        <f ca="1">ISERROR(VLOOKUP(Table_NamedRanges[[#This Row],[Named Range Paste]],OFFSET(INDEX(Table_ErrorList[],1,1),0,MATCH(Table_ErrorList[[#Headers],[Attention To Named Range]],Table_ErrorList[#Headers],0)-1,ROWS(Table_ErrorList[]),1),1,FALSE))=FALSE</f>
        <v>1</v>
      </c>
      <c r="G150" s="20" t="b">
        <f>MID(Table_NamedRanges[[#This Row],[Reference Text]],2,1)="'"</f>
        <v>1</v>
      </c>
      <c r="H150" s="20">
        <f>(LEN(Table_NamedRanges[[#This Row],[Reference Text]])-LEN(SUBSTITUTE(Table_NamedRanges[[#This Row],[Reference Text]],":","")))/LEN(":")</f>
        <v>0</v>
      </c>
      <c r="I150" s="20" t="b">
        <f>OR(ISERROR(FIND("[",Table_NamedRanges[[#This Row],[Reference Text]],1))=FALSE,ISERROR(FIND("]",Table_NamedRanges[[#This Row],[Reference Text]],1))=FALSE)</f>
        <v>0</v>
      </c>
      <c r="J150" s="20">
        <f>(LEN(Table_NamedRanges[[#This Row],[Reference Text]])-LEN(SUBSTITUTE(Table_NamedRanges[[#This Row],[Reference Text]],",","")))/LEN(",")</f>
        <v>0</v>
      </c>
      <c r="K150" s="20" t="str">
        <f>IF(Table_NamedRanges[[#This Row],[Starts with '']]=FALSE,"Other",IF(AND(Table_NamedRanges[[#This Row],[Count of Colon ":"]]=0,Table_NamedRanges[[#This Row],[Count of ","]]=0),"Single Cell",IF(Table_NamedRanges[[#This Row],[Count of Colon ":"]]=1,"Single Range", "Multiple (Cell or Range)")))</f>
        <v>Single Cell</v>
      </c>
    </row>
    <row r="151" spans="2:11" x14ac:dyDescent="0.25">
      <c r="B151" s="6" t="s">
        <v>608</v>
      </c>
      <c r="C151" s="8" t="s">
        <v>609</v>
      </c>
      <c r="D151" s="18">
        <f ca="1">IFERROR(INDIRECT(Table_NamedRanges[[#This Row],[Named Range Paste]]),"Undefined/Error")</f>
        <v>0</v>
      </c>
      <c r="E151" s="18" t="str">
        <f>Table_NamedRanges[[#This Row],[Reference Paste]]</f>
        <v>='Travel Expense Summary'!$K$34</v>
      </c>
      <c r="F151" s="18" t="b">
        <f ca="1">ISERROR(VLOOKUP(Table_NamedRanges[[#This Row],[Named Range Paste]],OFFSET(INDEX(Table_ErrorList[],1,1),0,MATCH(Table_ErrorList[[#Headers],[Attention To Named Range]],Table_ErrorList[#Headers],0)-1,ROWS(Table_ErrorList[]),1),1,FALSE))=FALSE</f>
        <v>1</v>
      </c>
      <c r="G151" s="20" t="b">
        <f>MID(Table_NamedRanges[[#This Row],[Reference Text]],2,1)="'"</f>
        <v>1</v>
      </c>
      <c r="H151" s="20">
        <f>(LEN(Table_NamedRanges[[#This Row],[Reference Text]])-LEN(SUBSTITUTE(Table_NamedRanges[[#This Row],[Reference Text]],":","")))/LEN(":")</f>
        <v>0</v>
      </c>
      <c r="I151" s="20" t="b">
        <f>OR(ISERROR(FIND("[",Table_NamedRanges[[#This Row],[Reference Text]],1))=FALSE,ISERROR(FIND("]",Table_NamedRanges[[#This Row],[Reference Text]],1))=FALSE)</f>
        <v>0</v>
      </c>
      <c r="J151" s="20">
        <f>(LEN(Table_NamedRanges[[#This Row],[Reference Text]])-LEN(SUBSTITUTE(Table_NamedRanges[[#This Row],[Reference Text]],",","")))/LEN(",")</f>
        <v>0</v>
      </c>
      <c r="K151" s="20" t="str">
        <f>IF(Table_NamedRanges[[#This Row],[Starts with '']]=FALSE,"Other",IF(AND(Table_NamedRanges[[#This Row],[Count of Colon ":"]]=0,Table_NamedRanges[[#This Row],[Count of ","]]=0),"Single Cell",IF(Table_NamedRanges[[#This Row],[Count of Colon ":"]]=1,"Single Range", "Multiple (Cell or Range)")))</f>
        <v>Single Cell</v>
      </c>
    </row>
    <row r="152" spans="2:11" x14ac:dyDescent="0.25">
      <c r="B152" s="6" t="s">
        <v>610</v>
      </c>
      <c r="C152" s="8" t="s">
        <v>611</v>
      </c>
      <c r="D152" s="18">
        <f ca="1">IFERROR(INDIRECT(Table_NamedRanges[[#This Row],[Named Range Paste]]),"Undefined/Error")</f>
        <v>0</v>
      </c>
      <c r="E152" s="18" t="str">
        <f>Table_NamedRanges[[#This Row],[Reference Paste]]</f>
        <v>='Travel Expense Summary'!$K$35</v>
      </c>
      <c r="F152" s="18" t="b">
        <f ca="1">ISERROR(VLOOKUP(Table_NamedRanges[[#This Row],[Named Range Paste]],OFFSET(INDEX(Table_ErrorList[],1,1),0,MATCH(Table_ErrorList[[#Headers],[Attention To Named Range]],Table_ErrorList[#Headers],0)-1,ROWS(Table_ErrorList[]),1),1,FALSE))=FALSE</f>
        <v>1</v>
      </c>
      <c r="G152" s="20" t="b">
        <f>MID(Table_NamedRanges[[#This Row],[Reference Text]],2,1)="'"</f>
        <v>1</v>
      </c>
      <c r="H152" s="20">
        <f>(LEN(Table_NamedRanges[[#This Row],[Reference Text]])-LEN(SUBSTITUTE(Table_NamedRanges[[#This Row],[Reference Text]],":","")))/LEN(":")</f>
        <v>0</v>
      </c>
      <c r="I152" s="20" t="b">
        <f>OR(ISERROR(FIND("[",Table_NamedRanges[[#This Row],[Reference Text]],1))=FALSE,ISERROR(FIND("]",Table_NamedRanges[[#This Row],[Reference Text]],1))=FALSE)</f>
        <v>0</v>
      </c>
      <c r="J152" s="20">
        <f>(LEN(Table_NamedRanges[[#This Row],[Reference Text]])-LEN(SUBSTITUTE(Table_NamedRanges[[#This Row],[Reference Text]],",","")))/LEN(",")</f>
        <v>0</v>
      </c>
      <c r="K152" s="20" t="str">
        <f>IF(Table_NamedRanges[[#This Row],[Starts with '']]=FALSE,"Other",IF(AND(Table_NamedRanges[[#This Row],[Count of Colon ":"]]=0,Table_NamedRanges[[#This Row],[Count of ","]]=0),"Single Cell",IF(Table_NamedRanges[[#This Row],[Count of Colon ":"]]=1,"Single Range", "Multiple (Cell or Range)")))</f>
        <v>Single Cell</v>
      </c>
    </row>
    <row r="153" spans="2:11" x14ac:dyDescent="0.25">
      <c r="B153" s="6" t="s">
        <v>612</v>
      </c>
      <c r="C153" s="8" t="s">
        <v>613</v>
      </c>
      <c r="D153" s="18">
        <f ca="1">IFERROR(INDIRECT(Table_NamedRanges[[#This Row],[Named Range Paste]]),"Undefined/Error")</f>
        <v>0</v>
      </c>
      <c r="E153" s="18" t="str">
        <f>Table_NamedRanges[[#This Row],[Reference Paste]]</f>
        <v>='Travel Expense Summary'!$K$36</v>
      </c>
      <c r="F153" s="18" t="b">
        <f ca="1">ISERROR(VLOOKUP(Table_NamedRanges[[#This Row],[Named Range Paste]],OFFSET(INDEX(Table_ErrorList[],1,1),0,MATCH(Table_ErrorList[[#Headers],[Attention To Named Range]],Table_ErrorList[#Headers],0)-1,ROWS(Table_ErrorList[]),1),1,FALSE))=FALSE</f>
        <v>1</v>
      </c>
      <c r="G153" s="20" t="b">
        <f>MID(Table_NamedRanges[[#This Row],[Reference Text]],2,1)="'"</f>
        <v>1</v>
      </c>
      <c r="H153" s="20">
        <f>(LEN(Table_NamedRanges[[#This Row],[Reference Text]])-LEN(SUBSTITUTE(Table_NamedRanges[[#This Row],[Reference Text]],":","")))/LEN(":")</f>
        <v>0</v>
      </c>
      <c r="I153" s="20" t="b">
        <f>OR(ISERROR(FIND("[",Table_NamedRanges[[#This Row],[Reference Text]],1))=FALSE,ISERROR(FIND("]",Table_NamedRanges[[#This Row],[Reference Text]],1))=FALSE)</f>
        <v>0</v>
      </c>
      <c r="J153" s="20">
        <f>(LEN(Table_NamedRanges[[#This Row],[Reference Text]])-LEN(SUBSTITUTE(Table_NamedRanges[[#This Row],[Reference Text]],",","")))/LEN(",")</f>
        <v>0</v>
      </c>
      <c r="K153" s="20" t="str">
        <f>IF(Table_NamedRanges[[#This Row],[Starts with '']]=FALSE,"Other",IF(AND(Table_NamedRanges[[#This Row],[Count of Colon ":"]]=0,Table_NamedRanges[[#This Row],[Count of ","]]=0),"Single Cell",IF(Table_NamedRanges[[#This Row],[Count of Colon ":"]]=1,"Single Range", "Multiple (Cell or Range)")))</f>
        <v>Single Cell</v>
      </c>
    </row>
    <row r="154" spans="2:11" x14ac:dyDescent="0.25">
      <c r="B154" s="6" t="s">
        <v>614</v>
      </c>
      <c r="C154" s="8" t="s">
        <v>615</v>
      </c>
      <c r="D154" s="18">
        <f ca="1">IFERROR(INDIRECT(Table_NamedRanges[[#This Row],[Named Range Paste]]),"Undefined/Error")</f>
        <v>0</v>
      </c>
      <c r="E154" s="18" t="str">
        <f>Table_NamedRanges[[#This Row],[Reference Paste]]</f>
        <v>='Travel Expense Summary'!$K$37</v>
      </c>
      <c r="F154" s="18" t="b">
        <f ca="1">ISERROR(VLOOKUP(Table_NamedRanges[[#This Row],[Named Range Paste]],OFFSET(INDEX(Table_ErrorList[],1,1),0,MATCH(Table_ErrorList[[#Headers],[Attention To Named Range]],Table_ErrorList[#Headers],0)-1,ROWS(Table_ErrorList[]),1),1,FALSE))=FALSE</f>
        <v>1</v>
      </c>
      <c r="G154" s="20" t="b">
        <f>MID(Table_NamedRanges[[#This Row],[Reference Text]],2,1)="'"</f>
        <v>1</v>
      </c>
      <c r="H154" s="20">
        <f>(LEN(Table_NamedRanges[[#This Row],[Reference Text]])-LEN(SUBSTITUTE(Table_NamedRanges[[#This Row],[Reference Text]],":","")))/LEN(":")</f>
        <v>0</v>
      </c>
      <c r="I154" s="20" t="b">
        <f>OR(ISERROR(FIND("[",Table_NamedRanges[[#This Row],[Reference Text]],1))=FALSE,ISERROR(FIND("]",Table_NamedRanges[[#This Row],[Reference Text]],1))=FALSE)</f>
        <v>0</v>
      </c>
      <c r="J154" s="20">
        <f>(LEN(Table_NamedRanges[[#This Row],[Reference Text]])-LEN(SUBSTITUTE(Table_NamedRanges[[#This Row],[Reference Text]],",","")))/LEN(",")</f>
        <v>0</v>
      </c>
      <c r="K154" s="20" t="str">
        <f>IF(Table_NamedRanges[[#This Row],[Starts with '']]=FALSE,"Other",IF(AND(Table_NamedRanges[[#This Row],[Count of Colon ":"]]=0,Table_NamedRanges[[#This Row],[Count of ","]]=0),"Single Cell",IF(Table_NamedRanges[[#This Row],[Count of Colon ":"]]=1,"Single Range", "Multiple (Cell or Range)")))</f>
        <v>Single Cell</v>
      </c>
    </row>
    <row r="155" spans="2:11" x14ac:dyDescent="0.25">
      <c r="B155" s="6" t="s">
        <v>616</v>
      </c>
      <c r="C155" s="8" t="s">
        <v>617</v>
      </c>
      <c r="D155" s="18">
        <f ca="1">IFERROR(INDIRECT(Table_NamedRanges[[#This Row],[Named Range Paste]]),"Undefined/Error")</f>
        <v>0</v>
      </c>
      <c r="E155" s="18" t="str">
        <f>Table_NamedRanges[[#This Row],[Reference Paste]]</f>
        <v>='Travel Expense Summary'!$R$27</v>
      </c>
      <c r="F155" s="18" t="b">
        <f ca="1">ISERROR(VLOOKUP(Table_NamedRanges[[#This Row],[Named Range Paste]],OFFSET(INDEX(Table_ErrorList[],1,1),0,MATCH(Table_ErrorList[[#Headers],[Attention To Named Range]],Table_ErrorList[#Headers],0)-1,ROWS(Table_ErrorList[]),1),1,FALSE))=FALSE</f>
        <v>1</v>
      </c>
      <c r="G155" s="20" t="b">
        <f>MID(Table_NamedRanges[[#This Row],[Reference Text]],2,1)="'"</f>
        <v>1</v>
      </c>
      <c r="H155" s="20">
        <f>(LEN(Table_NamedRanges[[#This Row],[Reference Text]])-LEN(SUBSTITUTE(Table_NamedRanges[[#This Row],[Reference Text]],":","")))/LEN(":")</f>
        <v>0</v>
      </c>
      <c r="I155" s="20" t="b">
        <f>OR(ISERROR(FIND("[",Table_NamedRanges[[#This Row],[Reference Text]],1))=FALSE,ISERROR(FIND("]",Table_NamedRanges[[#This Row],[Reference Text]],1))=FALSE)</f>
        <v>0</v>
      </c>
      <c r="J155" s="20">
        <f>(LEN(Table_NamedRanges[[#This Row],[Reference Text]])-LEN(SUBSTITUTE(Table_NamedRanges[[#This Row],[Reference Text]],",","")))/LEN(",")</f>
        <v>0</v>
      </c>
      <c r="K155" s="20" t="str">
        <f>IF(Table_NamedRanges[[#This Row],[Starts with '']]=FALSE,"Other",IF(AND(Table_NamedRanges[[#This Row],[Count of Colon ":"]]=0,Table_NamedRanges[[#This Row],[Count of ","]]=0),"Single Cell",IF(Table_NamedRanges[[#This Row],[Count of Colon ":"]]=1,"Single Range", "Multiple (Cell or Range)")))</f>
        <v>Single Cell</v>
      </c>
    </row>
    <row r="156" spans="2:11" x14ac:dyDescent="0.25">
      <c r="B156" s="6" t="s">
        <v>618</v>
      </c>
      <c r="C156" s="8" t="s">
        <v>619</v>
      </c>
      <c r="D156" s="18">
        <f ca="1">IFERROR(INDIRECT(Table_NamedRanges[[#This Row],[Named Range Paste]]),"Undefined/Error")</f>
        <v>0</v>
      </c>
      <c r="E156" s="18" t="str">
        <f>Table_NamedRanges[[#This Row],[Reference Paste]]</f>
        <v>='Travel Expense Summary'!$R$28</v>
      </c>
      <c r="F156" s="18" t="b">
        <f ca="1">ISERROR(VLOOKUP(Table_NamedRanges[[#This Row],[Named Range Paste]],OFFSET(INDEX(Table_ErrorList[],1,1),0,MATCH(Table_ErrorList[[#Headers],[Attention To Named Range]],Table_ErrorList[#Headers],0)-1,ROWS(Table_ErrorList[]),1),1,FALSE))=FALSE</f>
        <v>1</v>
      </c>
      <c r="G156" s="20" t="b">
        <f>MID(Table_NamedRanges[[#This Row],[Reference Text]],2,1)="'"</f>
        <v>1</v>
      </c>
      <c r="H156" s="20">
        <f>(LEN(Table_NamedRanges[[#This Row],[Reference Text]])-LEN(SUBSTITUTE(Table_NamedRanges[[#This Row],[Reference Text]],":","")))/LEN(":")</f>
        <v>0</v>
      </c>
      <c r="I156" s="20" t="b">
        <f>OR(ISERROR(FIND("[",Table_NamedRanges[[#This Row],[Reference Text]],1))=FALSE,ISERROR(FIND("]",Table_NamedRanges[[#This Row],[Reference Text]],1))=FALSE)</f>
        <v>0</v>
      </c>
      <c r="J156" s="20">
        <f>(LEN(Table_NamedRanges[[#This Row],[Reference Text]])-LEN(SUBSTITUTE(Table_NamedRanges[[#This Row],[Reference Text]],",","")))/LEN(",")</f>
        <v>0</v>
      </c>
      <c r="K156" s="20" t="str">
        <f>IF(Table_NamedRanges[[#This Row],[Starts with '']]=FALSE,"Other",IF(AND(Table_NamedRanges[[#This Row],[Count of Colon ":"]]=0,Table_NamedRanges[[#This Row],[Count of ","]]=0),"Single Cell",IF(Table_NamedRanges[[#This Row],[Count of Colon ":"]]=1,"Single Range", "Multiple (Cell or Range)")))</f>
        <v>Single Cell</v>
      </c>
    </row>
    <row r="157" spans="2:11" x14ac:dyDescent="0.25">
      <c r="B157" s="6" t="s">
        <v>620</v>
      </c>
      <c r="C157" s="8" t="s">
        <v>621</v>
      </c>
      <c r="D157" s="18">
        <f ca="1">IFERROR(INDIRECT(Table_NamedRanges[[#This Row],[Named Range Paste]]),"Undefined/Error")</f>
        <v>0</v>
      </c>
      <c r="E157" s="18" t="str">
        <f>Table_NamedRanges[[#This Row],[Reference Paste]]</f>
        <v>='Travel Expense Summary'!$R$29</v>
      </c>
      <c r="F157" s="18" t="b">
        <f ca="1">ISERROR(VLOOKUP(Table_NamedRanges[[#This Row],[Named Range Paste]],OFFSET(INDEX(Table_ErrorList[],1,1),0,MATCH(Table_ErrorList[[#Headers],[Attention To Named Range]],Table_ErrorList[#Headers],0)-1,ROWS(Table_ErrorList[]),1),1,FALSE))=FALSE</f>
        <v>1</v>
      </c>
      <c r="G157" s="20" t="b">
        <f>MID(Table_NamedRanges[[#This Row],[Reference Text]],2,1)="'"</f>
        <v>1</v>
      </c>
      <c r="H157" s="20">
        <f>(LEN(Table_NamedRanges[[#This Row],[Reference Text]])-LEN(SUBSTITUTE(Table_NamedRanges[[#This Row],[Reference Text]],":","")))/LEN(":")</f>
        <v>0</v>
      </c>
      <c r="I157" s="20" t="b">
        <f>OR(ISERROR(FIND("[",Table_NamedRanges[[#This Row],[Reference Text]],1))=FALSE,ISERROR(FIND("]",Table_NamedRanges[[#This Row],[Reference Text]],1))=FALSE)</f>
        <v>0</v>
      </c>
      <c r="J157" s="20">
        <f>(LEN(Table_NamedRanges[[#This Row],[Reference Text]])-LEN(SUBSTITUTE(Table_NamedRanges[[#This Row],[Reference Text]],",","")))/LEN(",")</f>
        <v>0</v>
      </c>
      <c r="K157" s="20" t="str">
        <f>IF(Table_NamedRanges[[#This Row],[Starts with '']]=FALSE,"Other",IF(AND(Table_NamedRanges[[#This Row],[Count of Colon ":"]]=0,Table_NamedRanges[[#This Row],[Count of ","]]=0),"Single Cell",IF(Table_NamedRanges[[#This Row],[Count of Colon ":"]]=1,"Single Range", "Multiple (Cell or Range)")))</f>
        <v>Single Cell</v>
      </c>
    </row>
    <row r="158" spans="2:11" x14ac:dyDescent="0.25">
      <c r="B158" s="6" t="s">
        <v>622</v>
      </c>
      <c r="C158" s="8" t="s">
        <v>623</v>
      </c>
      <c r="D158" s="18">
        <f ca="1">IFERROR(INDIRECT(Table_NamedRanges[[#This Row],[Named Range Paste]]),"Undefined/Error")</f>
        <v>0</v>
      </c>
      <c r="E158" s="18" t="str">
        <f>Table_NamedRanges[[#This Row],[Reference Paste]]</f>
        <v>='Travel Expense Summary'!$R$30</v>
      </c>
      <c r="F158" s="18" t="b">
        <f ca="1">ISERROR(VLOOKUP(Table_NamedRanges[[#This Row],[Named Range Paste]],OFFSET(INDEX(Table_ErrorList[],1,1),0,MATCH(Table_ErrorList[[#Headers],[Attention To Named Range]],Table_ErrorList[#Headers],0)-1,ROWS(Table_ErrorList[]),1),1,FALSE))=FALSE</f>
        <v>1</v>
      </c>
      <c r="G158" s="20" t="b">
        <f>MID(Table_NamedRanges[[#This Row],[Reference Text]],2,1)="'"</f>
        <v>1</v>
      </c>
      <c r="H158" s="20">
        <f>(LEN(Table_NamedRanges[[#This Row],[Reference Text]])-LEN(SUBSTITUTE(Table_NamedRanges[[#This Row],[Reference Text]],":","")))/LEN(":")</f>
        <v>0</v>
      </c>
      <c r="I158" s="20" t="b">
        <f>OR(ISERROR(FIND("[",Table_NamedRanges[[#This Row],[Reference Text]],1))=FALSE,ISERROR(FIND("]",Table_NamedRanges[[#This Row],[Reference Text]],1))=FALSE)</f>
        <v>0</v>
      </c>
      <c r="J158" s="20">
        <f>(LEN(Table_NamedRanges[[#This Row],[Reference Text]])-LEN(SUBSTITUTE(Table_NamedRanges[[#This Row],[Reference Text]],",","")))/LEN(",")</f>
        <v>0</v>
      </c>
      <c r="K158" s="20" t="str">
        <f>IF(Table_NamedRanges[[#This Row],[Starts with '']]=FALSE,"Other",IF(AND(Table_NamedRanges[[#This Row],[Count of Colon ":"]]=0,Table_NamedRanges[[#This Row],[Count of ","]]=0),"Single Cell",IF(Table_NamedRanges[[#This Row],[Count of Colon ":"]]=1,"Single Range", "Multiple (Cell or Range)")))</f>
        <v>Single Cell</v>
      </c>
    </row>
    <row r="159" spans="2:11" x14ac:dyDescent="0.25">
      <c r="B159" s="6" t="s">
        <v>624</v>
      </c>
      <c r="C159" s="8" t="s">
        <v>625</v>
      </c>
      <c r="D159" s="18">
        <f ca="1">IFERROR(INDIRECT(Table_NamedRanges[[#This Row],[Named Range Paste]]),"Undefined/Error")</f>
        <v>0</v>
      </c>
      <c r="E159" s="18" t="str">
        <f>Table_NamedRanges[[#This Row],[Reference Paste]]</f>
        <v>='Travel Expense Summary'!$R$31</v>
      </c>
      <c r="F159" s="18" t="b">
        <f ca="1">ISERROR(VLOOKUP(Table_NamedRanges[[#This Row],[Named Range Paste]],OFFSET(INDEX(Table_ErrorList[],1,1),0,MATCH(Table_ErrorList[[#Headers],[Attention To Named Range]],Table_ErrorList[#Headers],0)-1,ROWS(Table_ErrorList[]),1),1,FALSE))=FALSE</f>
        <v>1</v>
      </c>
      <c r="G159" s="20" t="b">
        <f>MID(Table_NamedRanges[[#This Row],[Reference Text]],2,1)="'"</f>
        <v>1</v>
      </c>
      <c r="H159" s="20">
        <f>(LEN(Table_NamedRanges[[#This Row],[Reference Text]])-LEN(SUBSTITUTE(Table_NamedRanges[[#This Row],[Reference Text]],":","")))/LEN(":")</f>
        <v>0</v>
      </c>
      <c r="I159" s="20" t="b">
        <f>OR(ISERROR(FIND("[",Table_NamedRanges[[#This Row],[Reference Text]],1))=FALSE,ISERROR(FIND("]",Table_NamedRanges[[#This Row],[Reference Text]],1))=FALSE)</f>
        <v>0</v>
      </c>
      <c r="J159" s="20">
        <f>(LEN(Table_NamedRanges[[#This Row],[Reference Text]])-LEN(SUBSTITUTE(Table_NamedRanges[[#This Row],[Reference Text]],",","")))/LEN(",")</f>
        <v>0</v>
      </c>
      <c r="K159" s="20" t="str">
        <f>IF(Table_NamedRanges[[#This Row],[Starts with '']]=FALSE,"Other",IF(AND(Table_NamedRanges[[#This Row],[Count of Colon ":"]]=0,Table_NamedRanges[[#This Row],[Count of ","]]=0),"Single Cell",IF(Table_NamedRanges[[#This Row],[Count of Colon ":"]]=1,"Single Range", "Multiple (Cell or Range)")))</f>
        <v>Single Cell</v>
      </c>
    </row>
    <row r="160" spans="2:11" x14ac:dyDescent="0.25">
      <c r="B160" s="6" t="s">
        <v>626</v>
      </c>
      <c r="C160" s="8" t="s">
        <v>627</v>
      </c>
      <c r="D160" s="18">
        <f ca="1">IFERROR(INDIRECT(Table_NamedRanges[[#This Row],[Named Range Paste]]),"Undefined/Error")</f>
        <v>0</v>
      </c>
      <c r="E160" s="18" t="str">
        <f>Table_NamedRanges[[#This Row],[Reference Paste]]</f>
        <v>='Travel Expense Summary'!$R$32</v>
      </c>
      <c r="F160" s="18" t="b">
        <f ca="1">ISERROR(VLOOKUP(Table_NamedRanges[[#This Row],[Named Range Paste]],OFFSET(INDEX(Table_ErrorList[],1,1),0,MATCH(Table_ErrorList[[#Headers],[Attention To Named Range]],Table_ErrorList[#Headers],0)-1,ROWS(Table_ErrorList[]),1),1,FALSE))=FALSE</f>
        <v>1</v>
      </c>
      <c r="G160" s="20" t="b">
        <f>MID(Table_NamedRanges[[#This Row],[Reference Text]],2,1)="'"</f>
        <v>1</v>
      </c>
      <c r="H160" s="20">
        <f>(LEN(Table_NamedRanges[[#This Row],[Reference Text]])-LEN(SUBSTITUTE(Table_NamedRanges[[#This Row],[Reference Text]],":","")))/LEN(":")</f>
        <v>0</v>
      </c>
      <c r="I160" s="20" t="b">
        <f>OR(ISERROR(FIND("[",Table_NamedRanges[[#This Row],[Reference Text]],1))=FALSE,ISERROR(FIND("]",Table_NamedRanges[[#This Row],[Reference Text]],1))=FALSE)</f>
        <v>0</v>
      </c>
      <c r="J160" s="20">
        <f>(LEN(Table_NamedRanges[[#This Row],[Reference Text]])-LEN(SUBSTITUTE(Table_NamedRanges[[#This Row],[Reference Text]],",","")))/LEN(",")</f>
        <v>0</v>
      </c>
      <c r="K160" s="20" t="str">
        <f>IF(Table_NamedRanges[[#This Row],[Starts with '']]=FALSE,"Other",IF(AND(Table_NamedRanges[[#This Row],[Count of Colon ":"]]=0,Table_NamedRanges[[#This Row],[Count of ","]]=0),"Single Cell",IF(Table_NamedRanges[[#This Row],[Count of Colon ":"]]=1,"Single Range", "Multiple (Cell or Range)")))</f>
        <v>Single Cell</v>
      </c>
    </row>
    <row r="161" spans="2:11" x14ac:dyDescent="0.25">
      <c r="B161" s="6" t="s">
        <v>628</v>
      </c>
      <c r="C161" s="8" t="s">
        <v>629</v>
      </c>
      <c r="D161" s="18">
        <f ca="1">IFERROR(INDIRECT(Table_NamedRanges[[#This Row],[Named Range Paste]]),"Undefined/Error")</f>
        <v>0</v>
      </c>
      <c r="E161" s="18" t="str">
        <f>Table_NamedRanges[[#This Row],[Reference Paste]]</f>
        <v>='Travel Expense Summary'!$R$33</v>
      </c>
      <c r="F161" s="18" t="b">
        <f ca="1">ISERROR(VLOOKUP(Table_NamedRanges[[#This Row],[Named Range Paste]],OFFSET(INDEX(Table_ErrorList[],1,1),0,MATCH(Table_ErrorList[[#Headers],[Attention To Named Range]],Table_ErrorList[#Headers],0)-1,ROWS(Table_ErrorList[]),1),1,FALSE))=FALSE</f>
        <v>1</v>
      </c>
      <c r="G161" s="20" t="b">
        <f>MID(Table_NamedRanges[[#This Row],[Reference Text]],2,1)="'"</f>
        <v>1</v>
      </c>
      <c r="H161" s="20">
        <f>(LEN(Table_NamedRanges[[#This Row],[Reference Text]])-LEN(SUBSTITUTE(Table_NamedRanges[[#This Row],[Reference Text]],":","")))/LEN(":")</f>
        <v>0</v>
      </c>
      <c r="I161" s="20" t="b">
        <f>OR(ISERROR(FIND("[",Table_NamedRanges[[#This Row],[Reference Text]],1))=FALSE,ISERROR(FIND("]",Table_NamedRanges[[#This Row],[Reference Text]],1))=FALSE)</f>
        <v>0</v>
      </c>
      <c r="J161" s="20">
        <f>(LEN(Table_NamedRanges[[#This Row],[Reference Text]])-LEN(SUBSTITUTE(Table_NamedRanges[[#This Row],[Reference Text]],",","")))/LEN(",")</f>
        <v>0</v>
      </c>
      <c r="K161" s="20" t="str">
        <f>IF(Table_NamedRanges[[#This Row],[Starts with '']]=FALSE,"Other",IF(AND(Table_NamedRanges[[#This Row],[Count of Colon ":"]]=0,Table_NamedRanges[[#This Row],[Count of ","]]=0),"Single Cell",IF(Table_NamedRanges[[#This Row],[Count of Colon ":"]]=1,"Single Range", "Multiple (Cell or Range)")))</f>
        <v>Single Cell</v>
      </c>
    </row>
    <row r="162" spans="2:11" x14ac:dyDescent="0.25">
      <c r="B162" s="6" t="s">
        <v>630</v>
      </c>
      <c r="C162" s="8" t="s">
        <v>631</v>
      </c>
      <c r="D162" s="18">
        <f ca="1">IFERROR(INDIRECT(Table_NamedRanges[[#This Row],[Named Range Paste]]),"Undefined/Error")</f>
        <v>0</v>
      </c>
      <c r="E162" s="18" t="str">
        <f>Table_NamedRanges[[#This Row],[Reference Paste]]</f>
        <v>='Travel Expense Summary'!$R$34</v>
      </c>
      <c r="F162" s="18" t="b">
        <f ca="1">ISERROR(VLOOKUP(Table_NamedRanges[[#This Row],[Named Range Paste]],OFFSET(INDEX(Table_ErrorList[],1,1),0,MATCH(Table_ErrorList[[#Headers],[Attention To Named Range]],Table_ErrorList[#Headers],0)-1,ROWS(Table_ErrorList[]),1),1,FALSE))=FALSE</f>
        <v>1</v>
      </c>
      <c r="G162" s="20" t="b">
        <f>MID(Table_NamedRanges[[#This Row],[Reference Text]],2,1)="'"</f>
        <v>1</v>
      </c>
      <c r="H162" s="20">
        <f>(LEN(Table_NamedRanges[[#This Row],[Reference Text]])-LEN(SUBSTITUTE(Table_NamedRanges[[#This Row],[Reference Text]],":","")))/LEN(":")</f>
        <v>0</v>
      </c>
      <c r="I162" s="20" t="b">
        <f>OR(ISERROR(FIND("[",Table_NamedRanges[[#This Row],[Reference Text]],1))=FALSE,ISERROR(FIND("]",Table_NamedRanges[[#This Row],[Reference Text]],1))=FALSE)</f>
        <v>0</v>
      </c>
      <c r="J162" s="20">
        <f>(LEN(Table_NamedRanges[[#This Row],[Reference Text]])-LEN(SUBSTITUTE(Table_NamedRanges[[#This Row],[Reference Text]],",","")))/LEN(",")</f>
        <v>0</v>
      </c>
      <c r="K162" s="20" t="str">
        <f>IF(Table_NamedRanges[[#This Row],[Starts with '']]=FALSE,"Other",IF(AND(Table_NamedRanges[[#This Row],[Count of Colon ":"]]=0,Table_NamedRanges[[#This Row],[Count of ","]]=0),"Single Cell",IF(Table_NamedRanges[[#This Row],[Count of Colon ":"]]=1,"Single Range", "Multiple (Cell or Range)")))</f>
        <v>Single Cell</v>
      </c>
    </row>
    <row r="163" spans="2:11" x14ac:dyDescent="0.25">
      <c r="B163" s="6" t="s">
        <v>632</v>
      </c>
      <c r="C163" s="8" t="s">
        <v>633</v>
      </c>
      <c r="D163" s="18">
        <f ca="1">IFERROR(INDIRECT(Table_NamedRanges[[#This Row],[Named Range Paste]]),"Undefined/Error")</f>
        <v>0</v>
      </c>
      <c r="E163" s="18" t="str">
        <f>Table_NamedRanges[[#This Row],[Reference Paste]]</f>
        <v>='Travel Expense Summary'!$R$35</v>
      </c>
      <c r="F163" s="18" t="b">
        <f ca="1">ISERROR(VLOOKUP(Table_NamedRanges[[#This Row],[Named Range Paste]],OFFSET(INDEX(Table_ErrorList[],1,1),0,MATCH(Table_ErrorList[[#Headers],[Attention To Named Range]],Table_ErrorList[#Headers],0)-1,ROWS(Table_ErrorList[]),1),1,FALSE))=FALSE</f>
        <v>1</v>
      </c>
      <c r="G163" s="20" t="b">
        <f>MID(Table_NamedRanges[[#This Row],[Reference Text]],2,1)="'"</f>
        <v>1</v>
      </c>
      <c r="H163" s="20">
        <f>(LEN(Table_NamedRanges[[#This Row],[Reference Text]])-LEN(SUBSTITUTE(Table_NamedRanges[[#This Row],[Reference Text]],":","")))/LEN(":")</f>
        <v>0</v>
      </c>
      <c r="I163" s="20" t="b">
        <f>OR(ISERROR(FIND("[",Table_NamedRanges[[#This Row],[Reference Text]],1))=FALSE,ISERROR(FIND("]",Table_NamedRanges[[#This Row],[Reference Text]],1))=FALSE)</f>
        <v>0</v>
      </c>
      <c r="J163" s="20">
        <f>(LEN(Table_NamedRanges[[#This Row],[Reference Text]])-LEN(SUBSTITUTE(Table_NamedRanges[[#This Row],[Reference Text]],",","")))/LEN(",")</f>
        <v>0</v>
      </c>
      <c r="K163" s="20" t="str">
        <f>IF(Table_NamedRanges[[#This Row],[Starts with '']]=FALSE,"Other",IF(AND(Table_NamedRanges[[#This Row],[Count of Colon ":"]]=0,Table_NamedRanges[[#This Row],[Count of ","]]=0),"Single Cell",IF(Table_NamedRanges[[#This Row],[Count of Colon ":"]]=1,"Single Range", "Multiple (Cell or Range)")))</f>
        <v>Single Cell</v>
      </c>
    </row>
    <row r="164" spans="2:11" x14ac:dyDescent="0.25">
      <c r="B164" s="6" t="s">
        <v>634</v>
      </c>
      <c r="C164" s="8" t="s">
        <v>635</v>
      </c>
      <c r="D164" s="18">
        <f ca="1">IFERROR(INDIRECT(Table_NamedRanges[[#This Row],[Named Range Paste]]),"Undefined/Error")</f>
        <v>0</v>
      </c>
      <c r="E164" s="18" t="str">
        <f>Table_NamedRanges[[#This Row],[Reference Paste]]</f>
        <v>='Travel Expense Summary'!$R$36</v>
      </c>
      <c r="F164" s="18" t="b">
        <f ca="1">ISERROR(VLOOKUP(Table_NamedRanges[[#This Row],[Named Range Paste]],OFFSET(INDEX(Table_ErrorList[],1,1),0,MATCH(Table_ErrorList[[#Headers],[Attention To Named Range]],Table_ErrorList[#Headers],0)-1,ROWS(Table_ErrorList[]),1),1,FALSE))=FALSE</f>
        <v>1</v>
      </c>
      <c r="G164" s="20" t="b">
        <f>MID(Table_NamedRanges[[#This Row],[Reference Text]],2,1)="'"</f>
        <v>1</v>
      </c>
      <c r="H164" s="20">
        <f>(LEN(Table_NamedRanges[[#This Row],[Reference Text]])-LEN(SUBSTITUTE(Table_NamedRanges[[#This Row],[Reference Text]],":","")))/LEN(":")</f>
        <v>0</v>
      </c>
      <c r="I164" s="20" t="b">
        <f>OR(ISERROR(FIND("[",Table_NamedRanges[[#This Row],[Reference Text]],1))=FALSE,ISERROR(FIND("]",Table_NamedRanges[[#This Row],[Reference Text]],1))=FALSE)</f>
        <v>0</v>
      </c>
      <c r="J164" s="20">
        <f>(LEN(Table_NamedRanges[[#This Row],[Reference Text]])-LEN(SUBSTITUTE(Table_NamedRanges[[#This Row],[Reference Text]],",","")))/LEN(",")</f>
        <v>0</v>
      </c>
      <c r="K164" s="20" t="str">
        <f>IF(Table_NamedRanges[[#This Row],[Starts with '']]=FALSE,"Other",IF(AND(Table_NamedRanges[[#This Row],[Count of Colon ":"]]=0,Table_NamedRanges[[#This Row],[Count of ","]]=0),"Single Cell",IF(Table_NamedRanges[[#This Row],[Count of Colon ":"]]=1,"Single Range", "Multiple (Cell or Range)")))</f>
        <v>Single Cell</v>
      </c>
    </row>
    <row r="165" spans="2:11" x14ac:dyDescent="0.25">
      <c r="B165" s="6" t="s">
        <v>636</v>
      </c>
      <c r="C165" s="8" t="s">
        <v>637</v>
      </c>
      <c r="D165" s="18">
        <f ca="1">IFERROR(INDIRECT(Table_NamedRanges[[#This Row],[Named Range Paste]]),"Undefined/Error")</f>
        <v>0</v>
      </c>
      <c r="E165" s="18" t="str">
        <f>Table_NamedRanges[[#This Row],[Reference Paste]]</f>
        <v>='Travel Expense Summary'!$R$37</v>
      </c>
      <c r="F165" s="18" t="b">
        <f ca="1">ISERROR(VLOOKUP(Table_NamedRanges[[#This Row],[Named Range Paste]],OFFSET(INDEX(Table_ErrorList[],1,1),0,MATCH(Table_ErrorList[[#Headers],[Attention To Named Range]],Table_ErrorList[#Headers],0)-1,ROWS(Table_ErrorList[]),1),1,FALSE))=FALSE</f>
        <v>1</v>
      </c>
      <c r="G165" s="20" t="b">
        <f>MID(Table_NamedRanges[[#This Row],[Reference Text]],2,1)="'"</f>
        <v>1</v>
      </c>
      <c r="H165" s="20">
        <f>(LEN(Table_NamedRanges[[#This Row],[Reference Text]])-LEN(SUBSTITUTE(Table_NamedRanges[[#This Row],[Reference Text]],":","")))/LEN(":")</f>
        <v>0</v>
      </c>
      <c r="I165" s="20" t="b">
        <f>OR(ISERROR(FIND("[",Table_NamedRanges[[#This Row],[Reference Text]],1))=FALSE,ISERROR(FIND("]",Table_NamedRanges[[#This Row],[Reference Text]],1))=FALSE)</f>
        <v>0</v>
      </c>
      <c r="J165" s="20">
        <f>(LEN(Table_NamedRanges[[#This Row],[Reference Text]])-LEN(SUBSTITUTE(Table_NamedRanges[[#This Row],[Reference Text]],",","")))/LEN(",")</f>
        <v>0</v>
      </c>
      <c r="K165" s="20" t="str">
        <f>IF(Table_NamedRanges[[#This Row],[Starts with '']]=FALSE,"Other",IF(AND(Table_NamedRanges[[#This Row],[Count of Colon ":"]]=0,Table_NamedRanges[[#This Row],[Count of ","]]=0),"Single Cell",IF(Table_NamedRanges[[#This Row],[Count of Colon ":"]]=1,"Single Range", "Multiple (Cell or Range)")))</f>
        <v>Single Cell</v>
      </c>
    </row>
    <row r="166" spans="2:11" x14ac:dyDescent="0.25">
      <c r="B166" s="6" t="s">
        <v>638</v>
      </c>
      <c r="C166" s="8" t="s">
        <v>639</v>
      </c>
      <c r="D166" s="18">
        <f ca="1">IFERROR(INDIRECT(Table_NamedRanges[[#This Row],[Named Range Paste]]),"Undefined/Error")</f>
        <v>0</v>
      </c>
      <c r="E166" s="18" t="str">
        <f>Table_NamedRanges[[#This Row],[Reference Paste]]</f>
        <v>='Travel Expense Summary'!$Y$27</v>
      </c>
      <c r="F166" s="18" t="b">
        <f ca="1">ISERROR(VLOOKUP(Table_NamedRanges[[#This Row],[Named Range Paste]],OFFSET(INDEX(Table_ErrorList[],1,1),0,MATCH(Table_ErrorList[[#Headers],[Attention To Named Range]],Table_ErrorList[#Headers],0)-1,ROWS(Table_ErrorList[]),1),1,FALSE))=FALSE</f>
        <v>1</v>
      </c>
      <c r="G166" s="20" t="b">
        <f>MID(Table_NamedRanges[[#This Row],[Reference Text]],2,1)="'"</f>
        <v>1</v>
      </c>
      <c r="H166" s="20">
        <f>(LEN(Table_NamedRanges[[#This Row],[Reference Text]])-LEN(SUBSTITUTE(Table_NamedRanges[[#This Row],[Reference Text]],":","")))/LEN(":")</f>
        <v>0</v>
      </c>
      <c r="I166" s="20" t="b">
        <f>OR(ISERROR(FIND("[",Table_NamedRanges[[#This Row],[Reference Text]],1))=FALSE,ISERROR(FIND("]",Table_NamedRanges[[#This Row],[Reference Text]],1))=FALSE)</f>
        <v>0</v>
      </c>
      <c r="J166" s="20">
        <f>(LEN(Table_NamedRanges[[#This Row],[Reference Text]])-LEN(SUBSTITUTE(Table_NamedRanges[[#This Row],[Reference Text]],",","")))/LEN(",")</f>
        <v>0</v>
      </c>
      <c r="K166" s="20" t="str">
        <f>IF(Table_NamedRanges[[#This Row],[Starts with '']]=FALSE,"Other",IF(AND(Table_NamedRanges[[#This Row],[Count of Colon ":"]]=0,Table_NamedRanges[[#This Row],[Count of ","]]=0),"Single Cell",IF(Table_NamedRanges[[#This Row],[Count of Colon ":"]]=1,"Single Range", "Multiple (Cell or Range)")))</f>
        <v>Single Cell</v>
      </c>
    </row>
    <row r="167" spans="2:11" x14ac:dyDescent="0.25">
      <c r="B167" s="6" t="s">
        <v>640</v>
      </c>
      <c r="C167" s="8" t="s">
        <v>641</v>
      </c>
      <c r="D167" s="18">
        <f ca="1">IFERROR(INDIRECT(Table_NamedRanges[[#This Row],[Named Range Paste]]),"Undefined/Error")</f>
        <v>0</v>
      </c>
      <c r="E167" s="18" t="str">
        <f>Table_NamedRanges[[#This Row],[Reference Paste]]</f>
        <v>='Travel Expense Summary'!$Y$28</v>
      </c>
      <c r="F167" s="18" t="b">
        <f ca="1">ISERROR(VLOOKUP(Table_NamedRanges[[#This Row],[Named Range Paste]],OFFSET(INDEX(Table_ErrorList[],1,1),0,MATCH(Table_ErrorList[[#Headers],[Attention To Named Range]],Table_ErrorList[#Headers],0)-1,ROWS(Table_ErrorList[]),1),1,FALSE))=FALSE</f>
        <v>1</v>
      </c>
      <c r="G167" s="20" t="b">
        <f>MID(Table_NamedRanges[[#This Row],[Reference Text]],2,1)="'"</f>
        <v>1</v>
      </c>
      <c r="H167" s="20">
        <f>(LEN(Table_NamedRanges[[#This Row],[Reference Text]])-LEN(SUBSTITUTE(Table_NamedRanges[[#This Row],[Reference Text]],":","")))/LEN(":")</f>
        <v>0</v>
      </c>
      <c r="I167" s="20" t="b">
        <f>OR(ISERROR(FIND("[",Table_NamedRanges[[#This Row],[Reference Text]],1))=FALSE,ISERROR(FIND("]",Table_NamedRanges[[#This Row],[Reference Text]],1))=FALSE)</f>
        <v>0</v>
      </c>
      <c r="J167" s="20">
        <f>(LEN(Table_NamedRanges[[#This Row],[Reference Text]])-LEN(SUBSTITUTE(Table_NamedRanges[[#This Row],[Reference Text]],",","")))/LEN(",")</f>
        <v>0</v>
      </c>
      <c r="K167" s="20" t="str">
        <f>IF(Table_NamedRanges[[#This Row],[Starts with '']]=FALSE,"Other",IF(AND(Table_NamedRanges[[#This Row],[Count of Colon ":"]]=0,Table_NamedRanges[[#This Row],[Count of ","]]=0),"Single Cell",IF(Table_NamedRanges[[#This Row],[Count of Colon ":"]]=1,"Single Range", "Multiple (Cell or Range)")))</f>
        <v>Single Cell</v>
      </c>
    </row>
    <row r="168" spans="2:11" x14ac:dyDescent="0.25">
      <c r="B168" s="6" t="s">
        <v>642</v>
      </c>
      <c r="C168" s="8" t="s">
        <v>643</v>
      </c>
      <c r="D168" s="18">
        <f ca="1">IFERROR(INDIRECT(Table_NamedRanges[[#This Row],[Named Range Paste]]),"Undefined/Error")</f>
        <v>0</v>
      </c>
      <c r="E168" s="18" t="str">
        <f>Table_NamedRanges[[#This Row],[Reference Paste]]</f>
        <v>='Travel Expense Summary'!$Y$29</v>
      </c>
      <c r="F168" s="18" t="b">
        <f ca="1">ISERROR(VLOOKUP(Table_NamedRanges[[#This Row],[Named Range Paste]],OFFSET(INDEX(Table_ErrorList[],1,1),0,MATCH(Table_ErrorList[[#Headers],[Attention To Named Range]],Table_ErrorList[#Headers],0)-1,ROWS(Table_ErrorList[]),1),1,FALSE))=FALSE</f>
        <v>1</v>
      </c>
      <c r="G168" s="20" t="b">
        <f>MID(Table_NamedRanges[[#This Row],[Reference Text]],2,1)="'"</f>
        <v>1</v>
      </c>
      <c r="H168" s="20">
        <f>(LEN(Table_NamedRanges[[#This Row],[Reference Text]])-LEN(SUBSTITUTE(Table_NamedRanges[[#This Row],[Reference Text]],":","")))/LEN(":")</f>
        <v>0</v>
      </c>
      <c r="I168" s="20" t="b">
        <f>OR(ISERROR(FIND("[",Table_NamedRanges[[#This Row],[Reference Text]],1))=FALSE,ISERROR(FIND("]",Table_NamedRanges[[#This Row],[Reference Text]],1))=FALSE)</f>
        <v>0</v>
      </c>
      <c r="J168" s="20">
        <f>(LEN(Table_NamedRanges[[#This Row],[Reference Text]])-LEN(SUBSTITUTE(Table_NamedRanges[[#This Row],[Reference Text]],",","")))/LEN(",")</f>
        <v>0</v>
      </c>
      <c r="K168" s="20" t="str">
        <f>IF(Table_NamedRanges[[#This Row],[Starts with '']]=FALSE,"Other",IF(AND(Table_NamedRanges[[#This Row],[Count of Colon ":"]]=0,Table_NamedRanges[[#This Row],[Count of ","]]=0),"Single Cell",IF(Table_NamedRanges[[#This Row],[Count of Colon ":"]]=1,"Single Range", "Multiple (Cell or Range)")))</f>
        <v>Single Cell</v>
      </c>
    </row>
    <row r="169" spans="2:11" x14ac:dyDescent="0.25">
      <c r="B169" s="6" t="s">
        <v>644</v>
      </c>
      <c r="C169" s="8" t="s">
        <v>645</v>
      </c>
      <c r="D169" s="18">
        <f ca="1">IFERROR(INDIRECT(Table_NamedRanges[[#This Row],[Named Range Paste]]),"Undefined/Error")</f>
        <v>0</v>
      </c>
      <c r="E169" s="18" t="str">
        <f>Table_NamedRanges[[#This Row],[Reference Paste]]</f>
        <v>='Travel Expense Summary'!$Y$30</v>
      </c>
      <c r="F169" s="18" t="b">
        <f ca="1">ISERROR(VLOOKUP(Table_NamedRanges[[#This Row],[Named Range Paste]],OFFSET(INDEX(Table_ErrorList[],1,1),0,MATCH(Table_ErrorList[[#Headers],[Attention To Named Range]],Table_ErrorList[#Headers],0)-1,ROWS(Table_ErrorList[]),1),1,FALSE))=FALSE</f>
        <v>1</v>
      </c>
      <c r="G169" s="20" t="b">
        <f>MID(Table_NamedRanges[[#This Row],[Reference Text]],2,1)="'"</f>
        <v>1</v>
      </c>
      <c r="H169" s="20">
        <f>(LEN(Table_NamedRanges[[#This Row],[Reference Text]])-LEN(SUBSTITUTE(Table_NamedRanges[[#This Row],[Reference Text]],":","")))/LEN(":")</f>
        <v>0</v>
      </c>
      <c r="I169" s="20" t="b">
        <f>OR(ISERROR(FIND("[",Table_NamedRanges[[#This Row],[Reference Text]],1))=FALSE,ISERROR(FIND("]",Table_NamedRanges[[#This Row],[Reference Text]],1))=FALSE)</f>
        <v>0</v>
      </c>
      <c r="J169" s="20">
        <f>(LEN(Table_NamedRanges[[#This Row],[Reference Text]])-LEN(SUBSTITUTE(Table_NamedRanges[[#This Row],[Reference Text]],",","")))/LEN(",")</f>
        <v>0</v>
      </c>
      <c r="K169" s="20" t="str">
        <f>IF(Table_NamedRanges[[#This Row],[Starts with '']]=FALSE,"Other",IF(AND(Table_NamedRanges[[#This Row],[Count of Colon ":"]]=0,Table_NamedRanges[[#This Row],[Count of ","]]=0),"Single Cell",IF(Table_NamedRanges[[#This Row],[Count of Colon ":"]]=1,"Single Range", "Multiple (Cell or Range)")))</f>
        <v>Single Cell</v>
      </c>
    </row>
    <row r="170" spans="2:11" x14ac:dyDescent="0.25">
      <c r="B170" s="6" t="s">
        <v>646</v>
      </c>
      <c r="C170" s="8" t="s">
        <v>647</v>
      </c>
      <c r="D170" s="18">
        <f ca="1">IFERROR(INDIRECT(Table_NamedRanges[[#This Row],[Named Range Paste]]),"Undefined/Error")</f>
        <v>0</v>
      </c>
      <c r="E170" s="18" t="str">
        <f>Table_NamedRanges[[#This Row],[Reference Paste]]</f>
        <v>='Travel Expense Summary'!$Y$31</v>
      </c>
      <c r="F170" s="18" t="b">
        <f ca="1">ISERROR(VLOOKUP(Table_NamedRanges[[#This Row],[Named Range Paste]],OFFSET(INDEX(Table_ErrorList[],1,1),0,MATCH(Table_ErrorList[[#Headers],[Attention To Named Range]],Table_ErrorList[#Headers],0)-1,ROWS(Table_ErrorList[]),1),1,FALSE))=FALSE</f>
        <v>1</v>
      </c>
      <c r="G170" s="20" t="b">
        <f>MID(Table_NamedRanges[[#This Row],[Reference Text]],2,1)="'"</f>
        <v>1</v>
      </c>
      <c r="H170" s="20">
        <f>(LEN(Table_NamedRanges[[#This Row],[Reference Text]])-LEN(SUBSTITUTE(Table_NamedRanges[[#This Row],[Reference Text]],":","")))/LEN(":")</f>
        <v>0</v>
      </c>
      <c r="I170" s="20" t="b">
        <f>OR(ISERROR(FIND("[",Table_NamedRanges[[#This Row],[Reference Text]],1))=FALSE,ISERROR(FIND("]",Table_NamedRanges[[#This Row],[Reference Text]],1))=FALSE)</f>
        <v>0</v>
      </c>
      <c r="J170" s="20">
        <f>(LEN(Table_NamedRanges[[#This Row],[Reference Text]])-LEN(SUBSTITUTE(Table_NamedRanges[[#This Row],[Reference Text]],",","")))/LEN(",")</f>
        <v>0</v>
      </c>
      <c r="K170" s="20" t="str">
        <f>IF(Table_NamedRanges[[#This Row],[Starts with '']]=FALSE,"Other",IF(AND(Table_NamedRanges[[#This Row],[Count of Colon ":"]]=0,Table_NamedRanges[[#This Row],[Count of ","]]=0),"Single Cell",IF(Table_NamedRanges[[#This Row],[Count of Colon ":"]]=1,"Single Range", "Multiple (Cell or Range)")))</f>
        <v>Single Cell</v>
      </c>
    </row>
    <row r="171" spans="2:11" x14ac:dyDescent="0.25">
      <c r="B171" s="6" t="s">
        <v>648</v>
      </c>
      <c r="C171" s="8" t="s">
        <v>649</v>
      </c>
      <c r="D171" s="18">
        <f ca="1">IFERROR(INDIRECT(Table_NamedRanges[[#This Row],[Named Range Paste]]),"Undefined/Error")</f>
        <v>0</v>
      </c>
      <c r="E171" s="18" t="str">
        <f>Table_NamedRanges[[#This Row],[Reference Paste]]</f>
        <v>='Travel Expense Summary'!$Y$32</v>
      </c>
      <c r="F171" s="18" t="b">
        <f ca="1">ISERROR(VLOOKUP(Table_NamedRanges[[#This Row],[Named Range Paste]],OFFSET(INDEX(Table_ErrorList[],1,1),0,MATCH(Table_ErrorList[[#Headers],[Attention To Named Range]],Table_ErrorList[#Headers],0)-1,ROWS(Table_ErrorList[]),1),1,FALSE))=FALSE</f>
        <v>1</v>
      </c>
      <c r="G171" s="20" t="b">
        <f>MID(Table_NamedRanges[[#This Row],[Reference Text]],2,1)="'"</f>
        <v>1</v>
      </c>
      <c r="H171" s="20">
        <f>(LEN(Table_NamedRanges[[#This Row],[Reference Text]])-LEN(SUBSTITUTE(Table_NamedRanges[[#This Row],[Reference Text]],":","")))/LEN(":")</f>
        <v>0</v>
      </c>
      <c r="I171" s="20" t="b">
        <f>OR(ISERROR(FIND("[",Table_NamedRanges[[#This Row],[Reference Text]],1))=FALSE,ISERROR(FIND("]",Table_NamedRanges[[#This Row],[Reference Text]],1))=FALSE)</f>
        <v>0</v>
      </c>
      <c r="J171" s="20">
        <f>(LEN(Table_NamedRanges[[#This Row],[Reference Text]])-LEN(SUBSTITUTE(Table_NamedRanges[[#This Row],[Reference Text]],",","")))/LEN(",")</f>
        <v>0</v>
      </c>
      <c r="K171" s="20" t="str">
        <f>IF(Table_NamedRanges[[#This Row],[Starts with '']]=FALSE,"Other",IF(AND(Table_NamedRanges[[#This Row],[Count of Colon ":"]]=0,Table_NamedRanges[[#This Row],[Count of ","]]=0),"Single Cell",IF(Table_NamedRanges[[#This Row],[Count of Colon ":"]]=1,"Single Range", "Multiple (Cell or Range)")))</f>
        <v>Single Cell</v>
      </c>
    </row>
    <row r="172" spans="2:11" x14ac:dyDescent="0.25">
      <c r="B172" s="6" t="s">
        <v>650</v>
      </c>
      <c r="C172" s="8" t="s">
        <v>651</v>
      </c>
      <c r="D172" s="18">
        <f ca="1">IFERROR(INDIRECT(Table_NamedRanges[[#This Row],[Named Range Paste]]),"Undefined/Error")</f>
        <v>0</v>
      </c>
      <c r="E172" s="18" t="str">
        <f>Table_NamedRanges[[#This Row],[Reference Paste]]</f>
        <v>='Travel Expense Summary'!$Y$33</v>
      </c>
      <c r="F172" s="18" t="b">
        <f ca="1">ISERROR(VLOOKUP(Table_NamedRanges[[#This Row],[Named Range Paste]],OFFSET(INDEX(Table_ErrorList[],1,1),0,MATCH(Table_ErrorList[[#Headers],[Attention To Named Range]],Table_ErrorList[#Headers],0)-1,ROWS(Table_ErrorList[]),1),1,FALSE))=FALSE</f>
        <v>1</v>
      </c>
      <c r="G172" s="20" t="b">
        <f>MID(Table_NamedRanges[[#This Row],[Reference Text]],2,1)="'"</f>
        <v>1</v>
      </c>
      <c r="H172" s="20">
        <f>(LEN(Table_NamedRanges[[#This Row],[Reference Text]])-LEN(SUBSTITUTE(Table_NamedRanges[[#This Row],[Reference Text]],":","")))/LEN(":")</f>
        <v>0</v>
      </c>
      <c r="I172" s="20" t="b">
        <f>OR(ISERROR(FIND("[",Table_NamedRanges[[#This Row],[Reference Text]],1))=FALSE,ISERROR(FIND("]",Table_NamedRanges[[#This Row],[Reference Text]],1))=FALSE)</f>
        <v>0</v>
      </c>
      <c r="J172" s="20">
        <f>(LEN(Table_NamedRanges[[#This Row],[Reference Text]])-LEN(SUBSTITUTE(Table_NamedRanges[[#This Row],[Reference Text]],",","")))/LEN(",")</f>
        <v>0</v>
      </c>
      <c r="K172" s="20" t="str">
        <f>IF(Table_NamedRanges[[#This Row],[Starts with '']]=FALSE,"Other",IF(AND(Table_NamedRanges[[#This Row],[Count of Colon ":"]]=0,Table_NamedRanges[[#This Row],[Count of ","]]=0),"Single Cell",IF(Table_NamedRanges[[#This Row],[Count of Colon ":"]]=1,"Single Range", "Multiple (Cell or Range)")))</f>
        <v>Single Cell</v>
      </c>
    </row>
    <row r="173" spans="2:11" x14ac:dyDescent="0.25">
      <c r="B173" s="6" t="s">
        <v>652</v>
      </c>
      <c r="C173" s="8" t="s">
        <v>653</v>
      </c>
      <c r="D173" s="18">
        <f ca="1">IFERROR(INDIRECT(Table_NamedRanges[[#This Row],[Named Range Paste]]),"Undefined/Error")</f>
        <v>0</v>
      </c>
      <c r="E173" s="18" t="str">
        <f>Table_NamedRanges[[#This Row],[Reference Paste]]</f>
        <v>='Travel Expense Summary'!$Y$34</v>
      </c>
      <c r="F173" s="18" t="b">
        <f ca="1">ISERROR(VLOOKUP(Table_NamedRanges[[#This Row],[Named Range Paste]],OFFSET(INDEX(Table_ErrorList[],1,1),0,MATCH(Table_ErrorList[[#Headers],[Attention To Named Range]],Table_ErrorList[#Headers],0)-1,ROWS(Table_ErrorList[]),1),1,FALSE))=FALSE</f>
        <v>1</v>
      </c>
      <c r="G173" s="20" t="b">
        <f>MID(Table_NamedRanges[[#This Row],[Reference Text]],2,1)="'"</f>
        <v>1</v>
      </c>
      <c r="H173" s="20">
        <f>(LEN(Table_NamedRanges[[#This Row],[Reference Text]])-LEN(SUBSTITUTE(Table_NamedRanges[[#This Row],[Reference Text]],":","")))/LEN(":")</f>
        <v>0</v>
      </c>
      <c r="I173" s="20" t="b">
        <f>OR(ISERROR(FIND("[",Table_NamedRanges[[#This Row],[Reference Text]],1))=FALSE,ISERROR(FIND("]",Table_NamedRanges[[#This Row],[Reference Text]],1))=FALSE)</f>
        <v>0</v>
      </c>
      <c r="J173" s="20">
        <f>(LEN(Table_NamedRanges[[#This Row],[Reference Text]])-LEN(SUBSTITUTE(Table_NamedRanges[[#This Row],[Reference Text]],",","")))/LEN(",")</f>
        <v>0</v>
      </c>
      <c r="K173" s="20" t="str">
        <f>IF(Table_NamedRanges[[#This Row],[Starts with '']]=FALSE,"Other",IF(AND(Table_NamedRanges[[#This Row],[Count of Colon ":"]]=0,Table_NamedRanges[[#This Row],[Count of ","]]=0),"Single Cell",IF(Table_NamedRanges[[#This Row],[Count of Colon ":"]]=1,"Single Range", "Multiple (Cell or Range)")))</f>
        <v>Single Cell</v>
      </c>
    </row>
    <row r="174" spans="2:11" x14ac:dyDescent="0.25">
      <c r="B174" s="6" t="s">
        <v>654</v>
      </c>
      <c r="C174" s="8" t="s">
        <v>655</v>
      </c>
      <c r="D174" s="18">
        <f ca="1">IFERROR(INDIRECT(Table_NamedRanges[[#This Row],[Named Range Paste]]),"Undefined/Error")</f>
        <v>0</v>
      </c>
      <c r="E174" s="18" t="str">
        <f>Table_NamedRanges[[#This Row],[Reference Paste]]</f>
        <v>='Travel Expense Summary'!$Y$35</v>
      </c>
      <c r="F174" s="18" t="b">
        <f ca="1">ISERROR(VLOOKUP(Table_NamedRanges[[#This Row],[Named Range Paste]],OFFSET(INDEX(Table_ErrorList[],1,1),0,MATCH(Table_ErrorList[[#Headers],[Attention To Named Range]],Table_ErrorList[#Headers],0)-1,ROWS(Table_ErrorList[]),1),1,FALSE))=FALSE</f>
        <v>1</v>
      </c>
      <c r="G174" s="20" t="b">
        <f>MID(Table_NamedRanges[[#This Row],[Reference Text]],2,1)="'"</f>
        <v>1</v>
      </c>
      <c r="H174" s="20">
        <f>(LEN(Table_NamedRanges[[#This Row],[Reference Text]])-LEN(SUBSTITUTE(Table_NamedRanges[[#This Row],[Reference Text]],":","")))/LEN(":")</f>
        <v>0</v>
      </c>
      <c r="I174" s="20" t="b">
        <f>OR(ISERROR(FIND("[",Table_NamedRanges[[#This Row],[Reference Text]],1))=FALSE,ISERROR(FIND("]",Table_NamedRanges[[#This Row],[Reference Text]],1))=FALSE)</f>
        <v>0</v>
      </c>
      <c r="J174" s="20">
        <f>(LEN(Table_NamedRanges[[#This Row],[Reference Text]])-LEN(SUBSTITUTE(Table_NamedRanges[[#This Row],[Reference Text]],",","")))/LEN(",")</f>
        <v>0</v>
      </c>
      <c r="K174" s="20" t="str">
        <f>IF(Table_NamedRanges[[#This Row],[Starts with '']]=FALSE,"Other",IF(AND(Table_NamedRanges[[#This Row],[Count of Colon ":"]]=0,Table_NamedRanges[[#This Row],[Count of ","]]=0),"Single Cell",IF(Table_NamedRanges[[#This Row],[Count of Colon ":"]]=1,"Single Range", "Multiple (Cell or Range)")))</f>
        <v>Single Cell</v>
      </c>
    </row>
    <row r="175" spans="2:11" x14ac:dyDescent="0.25">
      <c r="B175" s="6" t="s">
        <v>656</v>
      </c>
      <c r="C175" s="8" t="s">
        <v>657</v>
      </c>
      <c r="D175" s="18">
        <f ca="1">IFERROR(INDIRECT(Table_NamedRanges[[#This Row],[Named Range Paste]]),"Undefined/Error")</f>
        <v>0</v>
      </c>
      <c r="E175" s="18" t="str">
        <f>Table_NamedRanges[[#This Row],[Reference Paste]]</f>
        <v>='Travel Expense Summary'!$Y$36</v>
      </c>
      <c r="F175" s="18" t="b">
        <f ca="1">ISERROR(VLOOKUP(Table_NamedRanges[[#This Row],[Named Range Paste]],OFFSET(INDEX(Table_ErrorList[],1,1),0,MATCH(Table_ErrorList[[#Headers],[Attention To Named Range]],Table_ErrorList[#Headers],0)-1,ROWS(Table_ErrorList[]),1),1,FALSE))=FALSE</f>
        <v>1</v>
      </c>
      <c r="G175" s="20" t="b">
        <f>MID(Table_NamedRanges[[#This Row],[Reference Text]],2,1)="'"</f>
        <v>1</v>
      </c>
      <c r="H175" s="20">
        <f>(LEN(Table_NamedRanges[[#This Row],[Reference Text]])-LEN(SUBSTITUTE(Table_NamedRanges[[#This Row],[Reference Text]],":","")))/LEN(":")</f>
        <v>0</v>
      </c>
      <c r="I175" s="20" t="b">
        <f>OR(ISERROR(FIND("[",Table_NamedRanges[[#This Row],[Reference Text]],1))=FALSE,ISERROR(FIND("]",Table_NamedRanges[[#This Row],[Reference Text]],1))=FALSE)</f>
        <v>0</v>
      </c>
      <c r="J175" s="20">
        <f>(LEN(Table_NamedRanges[[#This Row],[Reference Text]])-LEN(SUBSTITUTE(Table_NamedRanges[[#This Row],[Reference Text]],",","")))/LEN(",")</f>
        <v>0</v>
      </c>
      <c r="K175" s="20" t="str">
        <f>IF(Table_NamedRanges[[#This Row],[Starts with '']]=FALSE,"Other",IF(AND(Table_NamedRanges[[#This Row],[Count of Colon ":"]]=0,Table_NamedRanges[[#This Row],[Count of ","]]=0),"Single Cell",IF(Table_NamedRanges[[#This Row],[Count of Colon ":"]]=1,"Single Range", "Multiple (Cell or Range)")))</f>
        <v>Single Cell</v>
      </c>
    </row>
    <row r="176" spans="2:11" x14ac:dyDescent="0.25">
      <c r="B176" s="6" t="s">
        <v>658</v>
      </c>
      <c r="C176" s="8" t="s">
        <v>659</v>
      </c>
      <c r="D176" s="18">
        <f ca="1">IFERROR(INDIRECT(Table_NamedRanges[[#This Row],[Named Range Paste]]),"Undefined/Error")</f>
        <v>0</v>
      </c>
      <c r="E176" s="18" t="str">
        <f>Table_NamedRanges[[#This Row],[Reference Paste]]</f>
        <v>='Travel Expense Summary'!$Y$37</v>
      </c>
      <c r="F176" s="18" t="b">
        <f ca="1">ISERROR(VLOOKUP(Table_NamedRanges[[#This Row],[Named Range Paste]],OFFSET(INDEX(Table_ErrorList[],1,1),0,MATCH(Table_ErrorList[[#Headers],[Attention To Named Range]],Table_ErrorList[#Headers],0)-1,ROWS(Table_ErrorList[]),1),1,FALSE))=FALSE</f>
        <v>1</v>
      </c>
      <c r="G176" s="20" t="b">
        <f>MID(Table_NamedRanges[[#This Row],[Reference Text]],2,1)="'"</f>
        <v>1</v>
      </c>
      <c r="H176" s="20">
        <f>(LEN(Table_NamedRanges[[#This Row],[Reference Text]])-LEN(SUBSTITUTE(Table_NamedRanges[[#This Row],[Reference Text]],":","")))/LEN(":")</f>
        <v>0</v>
      </c>
      <c r="I176" s="20" t="b">
        <f>OR(ISERROR(FIND("[",Table_NamedRanges[[#This Row],[Reference Text]],1))=FALSE,ISERROR(FIND("]",Table_NamedRanges[[#This Row],[Reference Text]],1))=FALSE)</f>
        <v>0</v>
      </c>
      <c r="J176" s="20">
        <f>(LEN(Table_NamedRanges[[#This Row],[Reference Text]])-LEN(SUBSTITUTE(Table_NamedRanges[[#This Row],[Reference Text]],",","")))/LEN(",")</f>
        <v>0</v>
      </c>
      <c r="K176" s="20" t="str">
        <f>IF(Table_NamedRanges[[#This Row],[Starts with '']]=FALSE,"Other",IF(AND(Table_NamedRanges[[#This Row],[Count of Colon ":"]]=0,Table_NamedRanges[[#This Row],[Count of ","]]=0),"Single Cell",IF(Table_NamedRanges[[#This Row],[Count of Colon ":"]]=1,"Single Range", "Multiple (Cell or Range)")))</f>
        <v>Single Cell</v>
      </c>
    </row>
    <row r="177" spans="2:11" x14ac:dyDescent="0.25">
      <c r="B177" s="6" t="s">
        <v>660</v>
      </c>
      <c r="C177" s="8" t="s">
        <v>661</v>
      </c>
      <c r="D177" s="18">
        <f ca="1">IFERROR(INDIRECT(Table_NamedRanges[[#This Row],[Named Range Paste]]),"Undefined/Error")</f>
        <v>0</v>
      </c>
      <c r="E177" s="18" t="str">
        <f>Table_NamedRanges[[#This Row],[Reference Paste]]</f>
        <v>='Travel Expense Summary'!$X$27</v>
      </c>
      <c r="F177" s="18" t="b">
        <f ca="1">ISERROR(VLOOKUP(Table_NamedRanges[[#This Row],[Named Range Paste]],OFFSET(INDEX(Table_ErrorList[],1,1),0,MATCH(Table_ErrorList[[#Headers],[Attention To Named Range]],Table_ErrorList[#Headers],0)-1,ROWS(Table_ErrorList[]),1),1,FALSE))=FALSE</f>
        <v>1</v>
      </c>
      <c r="G177" s="20" t="b">
        <f>MID(Table_NamedRanges[[#This Row],[Reference Text]],2,1)="'"</f>
        <v>1</v>
      </c>
      <c r="H177" s="20">
        <f>(LEN(Table_NamedRanges[[#This Row],[Reference Text]])-LEN(SUBSTITUTE(Table_NamedRanges[[#This Row],[Reference Text]],":","")))/LEN(":")</f>
        <v>0</v>
      </c>
      <c r="I177" s="20" t="b">
        <f>OR(ISERROR(FIND("[",Table_NamedRanges[[#This Row],[Reference Text]],1))=FALSE,ISERROR(FIND("]",Table_NamedRanges[[#This Row],[Reference Text]],1))=FALSE)</f>
        <v>0</v>
      </c>
      <c r="J177" s="20">
        <f>(LEN(Table_NamedRanges[[#This Row],[Reference Text]])-LEN(SUBSTITUTE(Table_NamedRanges[[#This Row],[Reference Text]],",","")))/LEN(",")</f>
        <v>0</v>
      </c>
      <c r="K177" s="20" t="str">
        <f>IF(Table_NamedRanges[[#This Row],[Starts with '']]=FALSE,"Other",IF(AND(Table_NamedRanges[[#This Row],[Count of Colon ":"]]=0,Table_NamedRanges[[#This Row],[Count of ","]]=0),"Single Cell",IF(Table_NamedRanges[[#This Row],[Count of Colon ":"]]=1,"Single Range", "Multiple (Cell or Range)")))</f>
        <v>Single Cell</v>
      </c>
    </row>
    <row r="178" spans="2:11" x14ac:dyDescent="0.25">
      <c r="B178" s="6" t="s">
        <v>662</v>
      </c>
      <c r="C178" s="8" t="s">
        <v>663</v>
      </c>
      <c r="D178" s="18">
        <f ca="1">IFERROR(INDIRECT(Table_NamedRanges[[#This Row],[Named Range Paste]]),"Undefined/Error")</f>
        <v>0</v>
      </c>
      <c r="E178" s="18" t="str">
        <f>Table_NamedRanges[[#This Row],[Reference Paste]]</f>
        <v>='Travel Expense Summary'!$X$28</v>
      </c>
      <c r="F178" s="18" t="b">
        <f ca="1">ISERROR(VLOOKUP(Table_NamedRanges[[#This Row],[Named Range Paste]],OFFSET(INDEX(Table_ErrorList[],1,1),0,MATCH(Table_ErrorList[[#Headers],[Attention To Named Range]],Table_ErrorList[#Headers],0)-1,ROWS(Table_ErrorList[]),1),1,FALSE))=FALSE</f>
        <v>1</v>
      </c>
      <c r="G178" s="20" t="b">
        <f>MID(Table_NamedRanges[[#This Row],[Reference Text]],2,1)="'"</f>
        <v>1</v>
      </c>
      <c r="H178" s="20">
        <f>(LEN(Table_NamedRanges[[#This Row],[Reference Text]])-LEN(SUBSTITUTE(Table_NamedRanges[[#This Row],[Reference Text]],":","")))/LEN(":")</f>
        <v>0</v>
      </c>
      <c r="I178" s="20" t="b">
        <f>OR(ISERROR(FIND("[",Table_NamedRanges[[#This Row],[Reference Text]],1))=FALSE,ISERROR(FIND("]",Table_NamedRanges[[#This Row],[Reference Text]],1))=FALSE)</f>
        <v>0</v>
      </c>
      <c r="J178" s="20">
        <f>(LEN(Table_NamedRanges[[#This Row],[Reference Text]])-LEN(SUBSTITUTE(Table_NamedRanges[[#This Row],[Reference Text]],",","")))/LEN(",")</f>
        <v>0</v>
      </c>
      <c r="K178" s="20" t="str">
        <f>IF(Table_NamedRanges[[#This Row],[Starts with '']]=FALSE,"Other",IF(AND(Table_NamedRanges[[#This Row],[Count of Colon ":"]]=0,Table_NamedRanges[[#This Row],[Count of ","]]=0),"Single Cell",IF(Table_NamedRanges[[#This Row],[Count of Colon ":"]]=1,"Single Range", "Multiple (Cell or Range)")))</f>
        <v>Single Cell</v>
      </c>
    </row>
    <row r="179" spans="2:11" x14ac:dyDescent="0.25">
      <c r="B179" s="6" t="s">
        <v>664</v>
      </c>
      <c r="C179" s="8" t="s">
        <v>665</v>
      </c>
      <c r="D179" s="18">
        <f ca="1">IFERROR(INDIRECT(Table_NamedRanges[[#This Row],[Named Range Paste]]),"Undefined/Error")</f>
        <v>0</v>
      </c>
      <c r="E179" s="18" t="str">
        <f>Table_NamedRanges[[#This Row],[Reference Paste]]</f>
        <v>='Travel Expense Summary'!$X$29</v>
      </c>
      <c r="F179" s="18" t="b">
        <f ca="1">ISERROR(VLOOKUP(Table_NamedRanges[[#This Row],[Named Range Paste]],OFFSET(INDEX(Table_ErrorList[],1,1),0,MATCH(Table_ErrorList[[#Headers],[Attention To Named Range]],Table_ErrorList[#Headers],0)-1,ROWS(Table_ErrorList[]),1),1,FALSE))=FALSE</f>
        <v>1</v>
      </c>
      <c r="G179" s="20" t="b">
        <f>MID(Table_NamedRanges[[#This Row],[Reference Text]],2,1)="'"</f>
        <v>1</v>
      </c>
      <c r="H179" s="20">
        <f>(LEN(Table_NamedRanges[[#This Row],[Reference Text]])-LEN(SUBSTITUTE(Table_NamedRanges[[#This Row],[Reference Text]],":","")))/LEN(":")</f>
        <v>0</v>
      </c>
      <c r="I179" s="20" t="b">
        <f>OR(ISERROR(FIND("[",Table_NamedRanges[[#This Row],[Reference Text]],1))=FALSE,ISERROR(FIND("]",Table_NamedRanges[[#This Row],[Reference Text]],1))=FALSE)</f>
        <v>0</v>
      </c>
      <c r="J179" s="20">
        <f>(LEN(Table_NamedRanges[[#This Row],[Reference Text]])-LEN(SUBSTITUTE(Table_NamedRanges[[#This Row],[Reference Text]],",","")))/LEN(",")</f>
        <v>0</v>
      </c>
      <c r="K179" s="20" t="str">
        <f>IF(Table_NamedRanges[[#This Row],[Starts with '']]=FALSE,"Other",IF(AND(Table_NamedRanges[[#This Row],[Count of Colon ":"]]=0,Table_NamedRanges[[#This Row],[Count of ","]]=0),"Single Cell",IF(Table_NamedRanges[[#This Row],[Count of Colon ":"]]=1,"Single Range", "Multiple (Cell or Range)")))</f>
        <v>Single Cell</v>
      </c>
    </row>
    <row r="180" spans="2:11" x14ac:dyDescent="0.25">
      <c r="B180" s="6" t="s">
        <v>666</v>
      </c>
      <c r="C180" s="8" t="s">
        <v>667</v>
      </c>
      <c r="D180" s="18">
        <f ca="1">IFERROR(INDIRECT(Table_NamedRanges[[#This Row],[Named Range Paste]]),"Undefined/Error")</f>
        <v>0</v>
      </c>
      <c r="E180" s="18" t="str">
        <f>Table_NamedRanges[[#This Row],[Reference Paste]]</f>
        <v>='Travel Expense Summary'!$X$30</v>
      </c>
      <c r="F180" s="18" t="b">
        <f ca="1">ISERROR(VLOOKUP(Table_NamedRanges[[#This Row],[Named Range Paste]],OFFSET(INDEX(Table_ErrorList[],1,1),0,MATCH(Table_ErrorList[[#Headers],[Attention To Named Range]],Table_ErrorList[#Headers],0)-1,ROWS(Table_ErrorList[]),1),1,FALSE))=FALSE</f>
        <v>1</v>
      </c>
      <c r="G180" s="20" t="b">
        <f>MID(Table_NamedRanges[[#This Row],[Reference Text]],2,1)="'"</f>
        <v>1</v>
      </c>
      <c r="H180" s="20">
        <f>(LEN(Table_NamedRanges[[#This Row],[Reference Text]])-LEN(SUBSTITUTE(Table_NamedRanges[[#This Row],[Reference Text]],":","")))/LEN(":")</f>
        <v>0</v>
      </c>
      <c r="I180" s="20" t="b">
        <f>OR(ISERROR(FIND("[",Table_NamedRanges[[#This Row],[Reference Text]],1))=FALSE,ISERROR(FIND("]",Table_NamedRanges[[#This Row],[Reference Text]],1))=FALSE)</f>
        <v>0</v>
      </c>
      <c r="J180" s="20">
        <f>(LEN(Table_NamedRanges[[#This Row],[Reference Text]])-LEN(SUBSTITUTE(Table_NamedRanges[[#This Row],[Reference Text]],",","")))/LEN(",")</f>
        <v>0</v>
      </c>
      <c r="K180" s="20" t="str">
        <f>IF(Table_NamedRanges[[#This Row],[Starts with '']]=FALSE,"Other",IF(AND(Table_NamedRanges[[#This Row],[Count of Colon ":"]]=0,Table_NamedRanges[[#This Row],[Count of ","]]=0),"Single Cell",IF(Table_NamedRanges[[#This Row],[Count of Colon ":"]]=1,"Single Range", "Multiple (Cell or Range)")))</f>
        <v>Single Cell</v>
      </c>
    </row>
    <row r="181" spans="2:11" x14ac:dyDescent="0.25">
      <c r="B181" s="6" t="s">
        <v>668</v>
      </c>
      <c r="C181" s="8" t="s">
        <v>669</v>
      </c>
      <c r="D181" s="18">
        <f ca="1">IFERROR(INDIRECT(Table_NamedRanges[[#This Row],[Named Range Paste]]),"Undefined/Error")</f>
        <v>0</v>
      </c>
      <c r="E181" s="18" t="str">
        <f>Table_NamedRanges[[#This Row],[Reference Paste]]</f>
        <v>='Travel Expense Summary'!$X$31</v>
      </c>
      <c r="F181" s="18" t="b">
        <f ca="1">ISERROR(VLOOKUP(Table_NamedRanges[[#This Row],[Named Range Paste]],OFFSET(INDEX(Table_ErrorList[],1,1),0,MATCH(Table_ErrorList[[#Headers],[Attention To Named Range]],Table_ErrorList[#Headers],0)-1,ROWS(Table_ErrorList[]),1),1,FALSE))=FALSE</f>
        <v>1</v>
      </c>
      <c r="G181" s="20" t="b">
        <f>MID(Table_NamedRanges[[#This Row],[Reference Text]],2,1)="'"</f>
        <v>1</v>
      </c>
      <c r="H181" s="20">
        <f>(LEN(Table_NamedRanges[[#This Row],[Reference Text]])-LEN(SUBSTITUTE(Table_NamedRanges[[#This Row],[Reference Text]],":","")))/LEN(":")</f>
        <v>0</v>
      </c>
      <c r="I181" s="20" t="b">
        <f>OR(ISERROR(FIND("[",Table_NamedRanges[[#This Row],[Reference Text]],1))=FALSE,ISERROR(FIND("]",Table_NamedRanges[[#This Row],[Reference Text]],1))=FALSE)</f>
        <v>0</v>
      </c>
      <c r="J181" s="20">
        <f>(LEN(Table_NamedRanges[[#This Row],[Reference Text]])-LEN(SUBSTITUTE(Table_NamedRanges[[#This Row],[Reference Text]],",","")))/LEN(",")</f>
        <v>0</v>
      </c>
      <c r="K181" s="20" t="str">
        <f>IF(Table_NamedRanges[[#This Row],[Starts with '']]=FALSE,"Other",IF(AND(Table_NamedRanges[[#This Row],[Count of Colon ":"]]=0,Table_NamedRanges[[#This Row],[Count of ","]]=0),"Single Cell",IF(Table_NamedRanges[[#This Row],[Count of Colon ":"]]=1,"Single Range", "Multiple (Cell or Range)")))</f>
        <v>Single Cell</v>
      </c>
    </row>
    <row r="182" spans="2:11" x14ac:dyDescent="0.25">
      <c r="B182" s="6" t="s">
        <v>670</v>
      </c>
      <c r="C182" s="8" t="s">
        <v>671</v>
      </c>
      <c r="D182" s="18">
        <f ca="1">IFERROR(INDIRECT(Table_NamedRanges[[#This Row],[Named Range Paste]]),"Undefined/Error")</f>
        <v>0</v>
      </c>
      <c r="E182" s="18" t="str">
        <f>Table_NamedRanges[[#This Row],[Reference Paste]]</f>
        <v>='Travel Expense Summary'!$X$32</v>
      </c>
      <c r="F182" s="18" t="b">
        <f ca="1">ISERROR(VLOOKUP(Table_NamedRanges[[#This Row],[Named Range Paste]],OFFSET(INDEX(Table_ErrorList[],1,1),0,MATCH(Table_ErrorList[[#Headers],[Attention To Named Range]],Table_ErrorList[#Headers],0)-1,ROWS(Table_ErrorList[]),1),1,FALSE))=FALSE</f>
        <v>1</v>
      </c>
      <c r="G182" s="20" t="b">
        <f>MID(Table_NamedRanges[[#This Row],[Reference Text]],2,1)="'"</f>
        <v>1</v>
      </c>
      <c r="H182" s="20">
        <f>(LEN(Table_NamedRanges[[#This Row],[Reference Text]])-LEN(SUBSTITUTE(Table_NamedRanges[[#This Row],[Reference Text]],":","")))/LEN(":")</f>
        <v>0</v>
      </c>
      <c r="I182" s="20" t="b">
        <f>OR(ISERROR(FIND("[",Table_NamedRanges[[#This Row],[Reference Text]],1))=FALSE,ISERROR(FIND("]",Table_NamedRanges[[#This Row],[Reference Text]],1))=FALSE)</f>
        <v>0</v>
      </c>
      <c r="J182" s="20">
        <f>(LEN(Table_NamedRanges[[#This Row],[Reference Text]])-LEN(SUBSTITUTE(Table_NamedRanges[[#This Row],[Reference Text]],",","")))/LEN(",")</f>
        <v>0</v>
      </c>
      <c r="K182" s="20" t="str">
        <f>IF(Table_NamedRanges[[#This Row],[Starts with '']]=FALSE,"Other",IF(AND(Table_NamedRanges[[#This Row],[Count of Colon ":"]]=0,Table_NamedRanges[[#This Row],[Count of ","]]=0),"Single Cell",IF(Table_NamedRanges[[#This Row],[Count of Colon ":"]]=1,"Single Range", "Multiple (Cell or Range)")))</f>
        <v>Single Cell</v>
      </c>
    </row>
    <row r="183" spans="2:11" x14ac:dyDescent="0.25">
      <c r="B183" s="6" t="s">
        <v>672</v>
      </c>
      <c r="C183" s="8" t="s">
        <v>673</v>
      </c>
      <c r="D183" s="18">
        <f ca="1">IFERROR(INDIRECT(Table_NamedRanges[[#This Row],[Named Range Paste]]),"Undefined/Error")</f>
        <v>0</v>
      </c>
      <c r="E183" s="18" t="str">
        <f>Table_NamedRanges[[#This Row],[Reference Paste]]</f>
        <v>='Travel Expense Summary'!$X$33</v>
      </c>
      <c r="F183" s="18" t="b">
        <f ca="1">ISERROR(VLOOKUP(Table_NamedRanges[[#This Row],[Named Range Paste]],OFFSET(INDEX(Table_ErrorList[],1,1),0,MATCH(Table_ErrorList[[#Headers],[Attention To Named Range]],Table_ErrorList[#Headers],0)-1,ROWS(Table_ErrorList[]),1),1,FALSE))=FALSE</f>
        <v>1</v>
      </c>
      <c r="G183" s="20" t="b">
        <f>MID(Table_NamedRanges[[#This Row],[Reference Text]],2,1)="'"</f>
        <v>1</v>
      </c>
      <c r="H183" s="20">
        <f>(LEN(Table_NamedRanges[[#This Row],[Reference Text]])-LEN(SUBSTITUTE(Table_NamedRanges[[#This Row],[Reference Text]],":","")))/LEN(":")</f>
        <v>0</v>
      </c>
      <c r="I183" s="20" t="b">
        <f>OR(ISERROR(FIND("[",Table_NamedRanges[[#This Row],[Reference Text]],1))=FALSE,ISERROR(FIND("]",Table_NamedRanges[[#This Row],[Reference Text]],1))=FALSE)</f>
        <v>0</v>
      </c>
      <c r="J183" s="20">
        <f>(LEN(Table_NamedRanges[[#This Row],[Reference Text]])-LEN(SUBSTITUTE(Table_NamedRanges[[#This Row],[Reference Text]],",","")))/LEN(",")</f>
        <v>0</v>
      </c>
      <c r="K183" s="20" t="str">
        <f>IF(Table_NamedRanges[[#This Row],[Starts with '']]=FALSE,"Other",IF(AND(Table_NamedRanges[[#This Row],[Count of Colon ":"]]=0,Table_NamedRanges[[#This Row],[Count of ","]]=0),"Single Cell",IF(Table_NamedRanges[[#This Row],[Count of Colon ":"]]=1,"Single Range", "Multiple (Cell or Range)")))</f>
        <v>Single Cell</v>
      </c>
    </row>
    <row r="184" spans="2:11" x14ac:dyDescent="0.25">
      <c r="B184" s="6" t="s">
        <v>674</v>
      </c>
      <c r="C184" s="8" t="s">
        <v>675</v>
      </c>
      <c r="D184" s="18">
        <f ca="1">IFERROR(INDIRECT(Table_NamedRanges[[#This Row],[Named Range Paste]]),"Undefined/Error")</f>
        <v>0</v>
      </c>
      <c r="E184" s="18" t="str">
        <f>Table_NamedRanges[[#This Row],[Reference Paste]]</f>
        <v>='Travel Expense Summary'!$X$34</v>
      </c>
      <c r="F184" s="18" t="b">
        <f ca="1">ISERROR(VLOOKUP(Table_NamedRanges[[#This Row],[Named Range Paste]],OFFSET(INDEX(Table_ErrorList[],1,1),0,MATCH(Table_ErrorList[[#Headers],[Attention To Named Range]],Table_ErrorList[#Headers],0)-1,ROWS(Table_ErrorList[]),1),1,FALSE))=FALSE</f>
        <v>1</v>
      </c>
      <c r="G184" s="20" t="b">
        <f>MID(Table_NamedRanges[[#This Row],[Reference Text]],2,1)="'"</f>
        <v>1</v>
      </c>
      <c r="H184" s="20">
        <f>(LEN(Table_NamedRanges[[#This Row],[Reference Text]])-LEN(SUBSTITUTE(Table_NamedRanges[[#This Row],[Reference Text]],":","")))/LEN(":")</f>
        <v>0</v>
      </c>
      <c r="I184" s="20" t="b">
        <f>OR(ISERROR(FIND("[",Table_NamedRanges[[#This Row],[Reference Text]],1))=FALSE,ISERROR(FIND("]",Table_NamedRanges[[#This Row],[Reference Text]],1))=FALSE)</f>
        <v>0</v>
      </c>
      <c r="J184" s="20">
        <f>(LEN(Table_NamedRanges[[#This Row],[Reference Text]])-LEN(SUBSTITUTE(Table_NamedRanges[[#This Row],[Reference Text]],",","")))/LEN(",")</f>
        <v>0</v>
      </c>
      <c r="K184" s="20" t="str">
        <f>IF(Table_NamedRanges[[#This Row],[Starts with '']]=FALSE,"Other",IF(AND(Table_NamedRanges[[#This Row],[Count of Colon ":"]]=0,Table_NamedRanges[[#This Row],[Count of ","]]=0),"Single Cell",IF(Table_NamedRanges[[#This Row],[Count of Colon ":"]]=1,"Single Range", "Multiple (Cell or Range)")))</f>
        <v>Single Cell</v>
      </c>
    </row>
    <row r="185" spans="2:11" x14ac:dyDescent="0.25">
      <c r="B185" s="6" t="s">
        <v>676</v>
      </c>
      <c r="C185" s="8" t="s">
        <v>677</v>
      </c>
      <c r="D185" s="18">
        <f ca="1">IFERROR(INDIRECT(Table_NamedRanges[[#This Row],[Named Range Paste]]),"Undefined/Error")</f>
        <v>0</v>
      </c>
      <c r="E185" s="18" t="str">
        <f>Table_NamedRanges[[#This Row],[Reference Paste]]</f>
        <v>='Travel Expense Summary'!$X$35</v>
      </c>
      <c r="F185" s="18" t="b">
        <f ca="1">ISERROR(VLOOKUP(Table_NamedRanges[[#This Row],[Named Range Paste]],OFFSET(INDEX(Table_ErrorList[],1,1),0,MATCH(Table_ErrorList[[#Headers],[Attention To Named Range]],Table_ErrorList[#Headers],0)-1,ROWS(Table_ErrorList[]),1),1,FALSE))=FALSE</f>
        <v>1</v>
      </c>
      <c r="G185" s="20" t="b">
        <f>MID(Table_NamedRanges[[#This Row],[Reference Text]],2,1)="'"</f>
        <v>1</v>
      </c>
      <c r="H185" s="20">
        <f>(LEN(Table_NamedRanges[[#This Row],[Reference Text]])-LEN(SUBSTITUTE(Table_NamedRanges[[#This Row],[Reference Text]],":","")))/LEN(":")</f>
        <v>0</v>
      </c>
      <c r="I185" s="20" t="b">
        <f>OR(ISERROR(FIND("[",Table_NamedRanges[[#This Row],[Reference Text]],1))=FALSE,ISERROR(FIND("]",Table_NamedRanges[[#This Row],[Reference Text]],1))=FALSE)</f>
        <v>0</v>
      </c>
      <c r="J185" s="20">
        <f>(LEN(Table_NamedRanges[[#This Row],[Reference Text]])-LEN(SUBSTITUTE(Table_NamedRanges[[#This Row],[Reference Text]],",","")))/LEN(",")</f>
        <v>0</v>
      </c>
      <c r="K185" s="20" t="str">
        <f>IF(Table_NamedRanges[[#This Row],[Starts with '']]=FALSE,"Other",IF(AND(Table_NamedRanges[[#This Row],[Count of Colon ":"]]=0,Table_NamedRanges[[#This Row],[Count of ","]]=0),"Single Cell",IF(Table_NamedRanges[[#This Row],[Count of Colon ":"]]=1,"Single Range", "Multiple (Cell or Range)")))</f>
        <v>Single Cell</v>
      </c>
    </row>
    <row r="186" spans="2:11" x14ac:dyDescent="0.25">
      <c r="B186" s="6" t="s">
        <v>678</v>
      </c>
      <c r="C186" s="8" t="s">
        <v>679</v>
      </c>
      <c r="D186" s="18">
        <f ca="1">IFERROR(INDIRECT(Table_NamedRanges[[#This Row],[Named Range Paste]]),"Undefined/Error")</f>
        <v>0</v>
      </c>
      <c r="E186" s="18" t="str">
        <f>Table_NamedRanges[[#This Row],[Reference Paste]]</f>
        <v>='Travel Expense Summary'!$X$36</v>
      </c>
      <c r="F186" s="18" t="b">
        <f ca="1">ISERROR(VLOOKUP(Table_NamedRanges[[#This Row],[Named Range Paste]],OFFSET(INDEX(Table_ErrorList[],1,1),0,MATCH(Table_ErrorList[[#Headers],[Attention To Named Range]],Table_ErrorList[#Headers],0)-1,ROWS(Table_ErrorList[]),1),1,FALSE))=FALSE</f>
        <v>1</v>
      </c>
      <c r="G186" s="20" t="b">
        <f>MID(Table_NamedRanges[[#This Row],[Reference Text]],2,1)="'"</f>
        <v>1</v>
      </c>
      <c r="H186" s="20">
        <f>(LEN(Table_NamedRanges[[#This Row],[Reference Text]])-LEN(SUBSTITUTE(Table_NamedRanges[[#This Row],[Reference Text]],":","")))/LEN(":")</f>
        <v>0</v>
      </c>
      <c r="I186" s="20" t="b">
        <f>OR(ISERROR(FIND("[",Table_NamedRanges[[#This Row],[Reference Text]],1))=FALSE,ISERROR(FIND("]",Table_NamedRanges[[#This Row],[Reference Text]],1))=FALSE)</f>
        <v>0</v>
      </c>
      <c r="J186" s="20">
        <f>(LEN(Table_NamedRanges[[#This Row],[Reference Text]])-LEN(SUBSTITUTE(Table_NamedRanges[[#This Row],[Reference Text]],",","")))/LEN(",")</f>
        <v>0</v>
      </c>
      <c r="K186" s="20" t="str">
        <f>IF(Table_NamedRanges[[#This Row],[Starts with '']]=FALSE,"Other",IF(AND(Table_NamedRanges[[#This Row],[Count of Colon ":"]]=0,Table_NamedRanges[[#This Row],[Count of ","]]=0),"Single Cell",IF(Table_NamedRanges[[#This Row],[Count of Colon ":"]]=1,"Single Range", "Multiple (Cell or Range)")))</f>
        <v>Single Cell</v>
      </c>
    </row>
    <row r="187" spans="2:11" x14ac:dyDescent="0.25">
      <c r="B187" s="6" t="s">
        <v>680</v>
      </c>
      <c r="C187" s="8" t="s">
        <v>681</v>
      </c>
      <c r="D187" s="18">
        <f ca="1">IFERROR(INDIRECT(Table_NamedRanges[[#This Row],[Named Range Paste]]),"Undefined/Error")</f>
        <v>0</v>
      </c>
      <c r="E187" s="18" t="str">
        <f>Table_NamedRanges[[#This Row],[Reference Paste]]</f>
        <v>='Travel Expense Summary'!$X$37</v>
      </c>
      <c r="F187" s="18" t="b">
        <f ca="1">ISERROR(VLOOKUP(Table_NamedRanges[[#This Row],[Named Range Paste]],OFFSET(INDEX(Table_ErrorList[],1,1),0,MATCH(Table_ErrorList[[#Headers],[Attention To Named Range]],Table_ErrorList[#Headers],0)-1,ROWS(Table_ErrorList[]),1),1,FALSE))=FALSE</f>
        <v>1</v>
      </c>
      <c r="G187" s="20" t="b">
        <f>MID(Table_NamedRanges[[#This Row],[Reference Text]],2,1)="'"</f>
        <v>1</v>
      </c>
      <c r="H187" s="20">
        <f>(LEN(Table_NamedRanges[[#This Row],[Reference Text]])-LEN(SUBSTITUTE(Table_NamedRanges[[#This Row],[Reference Text]],":","")))/LEN(":")</f>
        <v>0</v>
      </c>
      <c r="I187" s="20" t="b">
        <f>OR(ISERROR(FIND("[",Table_NamedRanges[[#This Row],[Reference Text]],1))=FALSE,ISERROR(FIND("]",Table_NamedRanges[[#This Row],[Reference Text]],1))=FALSE)</f>
        <v>0</v>
      </c>
      <c r="J187" s="20">
        <f>(LEN(Table_NamedRanges[[#This Row],[Reference Text]])-LEN(SUBSTITUTE(Table_NamedRanges[[#This Row],[Reference Text]],",","")))/LEN(",")</f>
        <v>0</v>
      </c>
      <c r="K187" s="20" t="str">
        <f>IF(Table_NamedRanges[[#This Row],[Starts with '']]=FALSE,"Other",IF(AND(Table_NamedRanges[[#This Row],[Count of Colon ":"]]=0,Table_NamedRanges[[#This Row],[Count of ","]]=0),"Single Cell",IF(Table_NamedRanges[[#This Row],[Count of Colon ":"]]=1,"Single Range", "Multiple (Cell or Range)")))</f>
        <v>Single Cell</v>
      </c>
    </row>
    <row r="188" spans="2:11" x14ac:dyDescent="0.25">
      <c r="B188" s="6" t="s">
        <v>682</v>
      </c>
      <c r="C188" s="8" t="s">
        <v>683</v>
      </c>
      <c r="D188" s="18">
        <f ca="1">IFERROR(INDIRECT(Table_NamedRanges[[#This Row],[Named Range Paste]]),"Undefined/Error")</f>
        <v>0</v>
      </c>
      <c r="E188" s="18" t="str">
        <f>Table_NamedRanges[[#This Row],[Reference Paste]]</f>
        <v>='Travel Expense Summary'!$T$27</v>
      </c>
      <c r="F188" s="18" t="b">
        <f ca="1">ISERROR(VLOOKUP(Table_NamedRanges[[#This Row],[Named Range Paste]],OFFSET(INDEX(Table_ErrorList[],1,1),0,MATCH(Table_ErrorList[[#Headers],[Attention To Named Range]],Table_ErrorList[#Headers],0)-1,ROWS(Table_ErrorList[]),1),1,FALSE))=FALSE</f>
        <v>1</v>
      </c>
      <c r="G188" s="20" t="b">
        <f>MID(Table_NamedRanges[[#This Row],[Reference Text]],2,1)="'"</f>
        <v>1</v>
      </c>
      <c r="H188" s="20">
        <f>(LEN(Table_NamedRanges[[#This Row],[Reference Text]])-LEN(SUBSTITUTE(Table_NamedRanges[[#This Row],[Reference Text]],":","")))/LEN(":")</f>
        <v>0</v>
      </c>
      <c r="I188" s="20" t="b">
        <f>OR(ISERROR(FIND("[",Table_NamedRanges[[#This Row],[Reference Text]],1))=FALSE,ISERROR(FIND("]",Table_NamedRanges[[#This Row],[Reference Text]],1))=FALSE)</f>
        <v>0</v>
      </c>
      <c r="J188" s="20">
        <f>(LEN(Table_NamedRanges[[#This Row],[Reference Text]])-LEN(SUBSTITUTE(Table_NamedRanges[[#This Row],[Reference Text]],",","")))/LEN(",")</f>
        <v>0</v>
      </c>
      <c r="K188" s="20" t="str">
        <f>IF(Table_NamedRanges[[#This Row],[Starts with '']]=FALSE,"Other",IF(AND(Table_NamedRanges[[#This Row],[Count of Colon ":"]]=0,Table_NamedRanges[[#This Row],[Count of ","]]=0),"Single Cell",IF(Table_NamedRanges[[#This Row],[Count of Colon ":"]]=1,"Single Range", "Multiple (Cell or Range)")))</f>
        <v>Single Cell</v>
      </c>
    </row>
    <row r="189" spans="2:11" x14ac:dyDescent="0.25">
      <c r="B189" s="6" t="s">
        <v>684</v>
      </c>
      <c r="C189" s="8" t="s">
        <v>685</v>
      </c>
      <c r="D189" s="18">
        <f ca="1">IFERROR(INDIRECT(Table_NamedRanges[[#This Row],[Named Range Paste]]),"Undefined/Error")</f>
        <v>0</v>
      </c>
      <c r="E189" s="18" t="str">
        <f>Table_NamedRanges[[#This Row],[Reference Paste]]</f>
        <v>='Travel Expense Summary'!$T$28</v>
      </c>
      <c r="F189" s="18" t="b">
        <f ca="1">ISERROR(VLOOKUP(Table_NamedRanges[[#This Row],[Named Range Paste]],OFFSET(INDEX(Table_ErrorList[],1,1),0,MATCH(Table_ErrorList[[#Headers],[Attention To Named Range]],Table_ErrorList[#Headers],0)-1,ROWS(Table_ErrorList[]),1),1,FALSE))=FALSE</f>
        <v>1</v>
      </c>
      <c r="G189" s="20" t="b">
        <f>MID(Table_NamedRanges[[#This Row],[Reference Text]],2,1)="'"</f>
        <v>1</v>
      </c>
      <c r="H189" s="20">
        <f>(LEN(Table_NamedRanges[[#This Row],[Reference Text]])-LEN(SUBSTITUTE(Table_NamedRanges[[#This Row],[Reference Text]],":","")))/LEN(":")</f>
        <v>0</v>
      </c>
      <c r="I189" s="20" t="b">
        <f>OR(ISERROR(FIND("[",Table_NamedRanges[[#This Row],[Reference Text]],1))=FALSE,ISERROR(FIND("]",Table_NamedRanges[[#This Row],[Reference Text]],1))=FALSE)</f>
        <v>0</v>
      </c>
      <c r="J189" s="20">
        <f>(LEN(Table_NamedRanges[[#This Row],[Reference Text]])-LEN(SUBSTITUTE(Table_NamedRanges[[#This Row],[Reference Text]],",","")))/LEN(",")</f>
        <v>0</v>
      </c>
      <c r="K189" s="20" t="str">
        <f>IF(Table_NamedRanges[[#This Row],[Starts with '']]=FALSE,"Other",IF(AND(Table_NamedRanges[[#This Row],[Count of Colon ":"]]=0,Table_NamedRanges[[#This Row],[Count of ","]]=0),"Single Cell",IF(Table_NamedRanges[[#This Row],[Count of Colon ":"]]=1,"Single Range", "Multiple (Cell or Range)")))</f>
        <v>Single Cell</v>
      </c>
    </row>
    <row r="190" spans="2:11" x14ac:dyDescent="0.25">
      <c r="B190" s="6" t="s">
        <v>686</v>
      </c>
      <c r="C190" s="8" t="s">
        <v>687</v>
      </c>
      <c r="D190" s="18">
        <f ca="1">IFERROR(INDIRECT(Table_NamedRanges[[#This Row],[Named Range Paste]]),"Undefined/Error")</f>
        <v>0</v>
      </c>
      <c r="E190" s="18" t="str">
        <f>Table_NamedRanges[[#This Row],[Reference Paste]]</f>
        <v>='Travel Expense Summary'!$T$29</v>
      </c>
      <c r="F190" s="18" t="b">
        <f ca="1">ISERROR(VLOOKUP(Table_NamedRanges[[#This Row],[Named Range Paste]],OFFSET(INDEX(Table_ErrorList[],1,1),0,MATCH(Table_ErrorList[[#Headers],[Attention To Named Range]],Table_ErrorList[#Headers],0)-1,ROWS(Table_ErrorList[]),1),1,FALSE))=FALSE</f>
        <v>1</v>
      </c>
      <c r="G190" s="20" t="b">
        <f>MID(Table_NamedRanges[[#This Row],[Reference Text]],2,1)="'"</f>
        <v>1</v>
      </c>
      <c r="H190" s="20">
        <f>(LEN(Table_NamedRanges[[#This Row],[Reference Text]])-LEN(SUBSTITUTE(Table_NamedRanges[[#This Row],[Reference Text]],":","")))/LEN(":")</f>
        <v>0</v>
      </c>
      <c r="I190" s="20" t="b">
        <f>OR(ISERROR(FIND("[",Table_NamedRanges[[#This Row],[Reference Text]],1))=FALSE,ISERROR(FIND("]",Table_NamedRanges[[#This Row],[Reference Text]],1))=FALSE)</f>
        <v>0</v>
      </c>
      <c r="J190" s="20">
        <f>(LEN(Table_NamedRanges[[#This Row],[Reference Text]])-LEN(SUBSTITUTE(Table_NamedRanges[[#This Row],[Reference Text]],",","")))/LEN(",")</f>
        <v>0</v>
      </c>
      <c r="K190" s="20" t="str">
        <f>IF(Table_NamedRanges[[#This Row],[Starts with '']]=FALSE,"Other",IF(AND(Table_NamedRanges[[#This Row],[Count of Colon ":"]]=0,Table_NamedRanges[[#This Row],[Count of ","]]=0),"Single Cell",IF(Table_NamedRanges[[#This Row],[Count of Colon ":"]]=1,"Single Range", "Multiple (Cell or Range)")))</f>
        <v>Single Cell</v>
      </c>
    </row>
    <row r="191" spans="2:11" x14ac:dyDescent="0.25">
      <c r="B191" s="6" t="s">
        <v>688</v>
      </c>
      <c r="C191" s="8" t="s">
        <v>689</v>
      </c>
      <c r="D191" s="18">
        <f ca="1">IFERROR(INDIRECT(Table_NamedRanges[[#This Row],[Named Range Paste]]),"Undefined/Error")</f>
        <v>0</v>
      </c>
      <c r="E191" s="18" t="str">
        <f>Table_NamedRanges[[#This Row],[Reference Paste]]</f>
        <v>='Travel Expense Summary'!$T$30</v>
      </c>
      <c r="F191" s="18" t="b">
        <f ca="1">ISERROR(VLOOKUP(Table_NamedRanges[[#This Row],[Named Range Paste]],OFFSET(INDEX(Table_ErrorList[],1,1),0,MATCH(Table_ErrorList[[#Headers],[Attention To Named Range]],Table_ErrorList[#Headers],0)-1,ROWS(Table_ErrorList[]),1),1,FALSE))=FALSE</f>
        <v>1</v>
      </c>
      <c r="G191" s="20" t="b">
        <f>MID(Table_NamedRanges[[#This Row],[Reference Text]],2,1)="'"</f>
        <v>1</v>
      </c>
      <c r="H191" s="20">
        <f>(LEN(Table_NamedRanges[[#This Row],[Reference Text]])-LEN(SUBSTITUTE(Table_NamedRanges[[#This Row],[Reference Text]],":","")))/LEN(":")</f>
        <v>0</v>
      </c>
      <c r="I191" s="20" t="b">
        <f>OR(ISERROR(FIND("[",Table_NamedRanges[[#This Row],[Reference Text]],1))=FALSE,ISERROR(FIND("]",Table_NamedRanges[[#This Row],[Reference Text]],1))=FALSE)</f>
        <v>0</v>
      </c>
      <c r="J191" s="20">
        <f>(LEN(Table_NamedRanges[[#This Row],[Reference Text]])-LEN(SUBSTITUTE(Table_NamedRanges[[#This Row],[Reference Text]],",","")))/LEN(",")</f>
        <v>0</v>
      </c>
      <c r="K191" s="20" t="str">
        <f>IF(Table_NamedRanges[[#This Row],[Starts with '']]=FALSE,"Other",IF(AND(Table_NamedRanges[[#This Row],[Count of Colon ":"]]=0,Table_NamedRanges[[#This Row],[Count of ","]]=0),"Single Cell",IF(Table_NamedRanges[[#This Row],[Count of Colon ":"]]=1,"Single Range", "Multiple (Cell or Range)")))</f>
        <v>Single Cell</v>
      </c>
    </row>
    <row r="192" spans="2:11" x14ac:dyDescent="0.25">
      <c r="B192" s="6" t="s">
        <v>690</v>
      </c>
      <c r="C192" s="8" t="s">
        <v>691</v>
      </c>
      <c r="D192" s="18">
        <f ca="1">IFERROR(INDIRECT(Table_NamedRanges[[#This Row],[Named Range Paste]]),"Undefined/Error")</f>
        <v>0</v>
      </c>
      <c r="E192" s="18" t="str">
        <f>Table_NamedRanges[[#This Row],[Reference Paste]]</f>
        <v>='Travel Expense Summary'!$T$31</v>
      </c>
      <c r="F192" s="18" t="b">
        <f ca="1">ISERROR(VLOOKUP(Table_NamedRanges[[#This Row],[Named Range Paste]],OFFSET(INDEX(Table_ErrorList[],1,1),0,MATCH(Table_ErrorList[[#Headers],[Attention To Named Range]],Table_ErrorList[#Headers],0)-1,ROWS(Table_ErrorList[]),1),1,FALSE))=FALSE</f>
        <v>1</v>
      </c>
      <c r="G192" s="20" t="b">
        <f>MID(Table_NamedRanges[[#This Row],[Reference Text]],2,1)="'"</f>
        <v>1</v>
      </c>
      <c r="H192" s="20">
        <f>(LEN(Table_NamedRanges[[#This Row],[Reference Text]])-LEN(SUBSTITUTE(Table_NamedRanges[[#This Row],[Reference Text]],":","")))/LEN(":")</f>
        <v>0</v>
      </c>
      <c r="I192" s="20" t="b">
        <f>OR(ISERROR(FIND("[",Table_NamedRanges[[#This Row],[Reference Text]],1))=FALSE,ISERROR(FIND("]",Table_NamedRanges[[#This Row],[Reference Text]],1))=FALSE)</f>
        <v>0</v>
      </c>
      <c r="J192" s="20">
        <f>(LEN(Table_NamedRanges[[#This Row],[Reference Text]])-LEN(SUBSTITUTE(Table_NamedRanges[[#This Row],[Reference Text]],",","")))/LEN(",")</f>
        <v>0</v>
      </c>
      <c r="K192" s="20" t="str">
        <f>IF(Table_NamedRanges[[#This Row],[Starts with '']]=FALSE,"Other",IF(AND(Table_NamedRanges[[#This Row],[Count of Colon ":"]]=0,Table_NamedRanges[[#This Row],[Count of ","]]=0),"Single Cell",IF(Table_NamedRanges[[#This Row],[Count of Colon ":"]]=1,"Single Range", "Multiple (Cell or Range)")))</f>
        <v>Single Cell</v>
      </c>
    </row>
    <row r="193" spans="2:11" x14ac:dyDescent="0.25">
      <c r="B193" s="6" t="s">
        <v>692</v>
      </c>
      <c r="C193" s="8" t="s">
        <v>693</v>
      </c>
      <c r="D193" s="18">
        <f ca="1">IFERROR(INDIRECT(Table_NamedRanges[[#This Row],[Named Range Paste]]),"Undefined/Error")</f>
        <v>0</v>
      </c>
      <c r="E193" s="18" t="str">
        <f>Table_NamedRanges[[#This Row],[Reference Paste]]</f>
        <v>='Travel Expense Summary'!$T$32</v>
      </c>
      <c r="F193" s="18" t="b">
        <f ca="1">ISERROR(VLOOKUP(Table_NamedRanges[[#This Row],[Named Range Paste]],OFFSET(INDEX(Table_ErrorList[],1,1),0,MATCH(Table_ErrorList[[#Headers],[Attention To Named Range]],Table_ErrorList[#Headers],0)-1,ROWS(Table_ErrorList[]),1),1,FALSE))=FALSE</f>
        <v>1</v>
      </c>
      <c r="G193" s="20" t="b">
        <f>MID(Table_NamedRanges[[#This Row],[Reference Text]],2,1)="'"</f>
        <v>1</v>
      </c>
      <c r="H193" s="20">
        <f>(LEN(Table_NamedRanges[[#This Row],[Reference Text]])-LEN(SUBSTITUTE(Table_NamedRanges[[#This Row],[Reference Text]],":","")))/LEN(":")</f>
        <v>0</v>
      </c>
      <c r="I193" s="20" t="b">
        <f>OR(ISERROR(FIND("[",Table_NamedRanges[[#This Row],[Reference Text]],1))=FALSE,ISERROR(FIND("]",Table_NamedRanges[[#This Row],[Reference Text]],1))=FALSE)</f>
        <v>0</v>
      </c>
      <c r="J193" s="20">
        <f>(LEN(Table_NamedRanges[[#This Row],[Reference Text]])-LEN(SUBSTITUTE(Table_NamedRanges[[#This Row],[Reference Text]],",","")))/LEN(",")</f>
        <v>0</v>
      </c>
      <c r="K193" s="20" t="str">
        <f>IF(Table_NamedRanges[[#This Row],[Starts with '']]=FALSE,"Other",IF(AND(Table_NamedRanges[[#This Row],[Count of Colon ":"]]=0,Table_NamedRanges[[#This Row],[Count of ","]]=0),"Single Cell",IF(Table_NamedRanges[[#This Row],[Count of Colon ":"]]=1,"Single Range", "Multiple (Cell or Range)")))</f>
        <v>Single Cell</v>
      </c>
    </row>
    <row r="194" spans="2:11" x14ac:dyDescent="0.25">
      <c r="B194" s="6" t="s">
        <v>694</v>
      </c>
      <c r="C194" s="8" t="s">
        <v>695</v>
      </c>
      <c r="D194" s="18">
        <f ca="1">IFERROR(INDIRECT(Table_NamedRanges[[#This Row],[Named Range Paste]]),"Undefined/Error")</f>
        <v>0</v>
      </c>
      <c r="E194" s="18" t="str">
        <f>Table_NamedRanges[[#This Row],[Reference Paste]]</f>
        <v>='Travel Expense Summary'!$T$33</v>
      </c>
      <c r="F194" s="18" t="b">
        <f ca="1">ISERROR(VLOOKUP(Table_NamedRanges[[#This Row],[Named Range Paste]],OFFSET(INDEX(Table_ErrorList[],1,1),0,MATCH(Table_ErrorList[[#Headers],[Attention To Named Range]],Table_ErrorList[#Headers],0)-1,ROWS(Table_ErrorList[]),1),1,FALSE))=FALSE</f>
        <v>1</v>
      </c>
      <c r="G194" s="20" t="b">
        <f>MID(Table_NamedRanges[[#This Row],[Reference Text]],2,1)="'"</f>
        <v>1</v>
      </c>
      <c r="H194" s="20">
        <f>(LEN(Table_NamedRanges[[#This Row],[Reference Text]])-LEN(SUBSTITUTE(Table_NamedRanges[[#This Row],[Reference Text]],":","")))/LEN(":")</f>
        <v>0</v>
      </c>
      <c r="I194" s="20" t="b">
        <f>OR(ISERROR(FIND("[",Table_NamedRanges[[#This Row],[Reference Text]],1))=FALSE,ISERROR(FIND("]",Table_NamedRanges[[#This Row],[Reference Text]],1))=FALSE)</f>
        <v>0</v>
      </c>
      <c r="J194" s="20">
        <f>(LEN(Table_NamedRanges[[#This Row],[Reference Text]])-LEN(SUBSTITUTE(Table_NamedRanges[[#This Row],[Reference Text]],",","")))/LEN(",")</f>
        <v>0</v>
      </c>
      <c r="K194" s="20" t="str">
        <f>IF(Table_NamedRanges[[#This Row],[Starts with '']]=FALSE,"Other",IF(AND(Table_NamedRanges[[#This Row],[Count of Colon ":"]]=0,Table_NamedRanges[[#This Row],[Count of ","]]=0),"Single Cell",IF(Table_NamedRanges[[#This Row],[Count of Colon ":"]]=1,"Single Range", "Multiple (Cell or Range)")))</f>
        <v>Single Cell</v>
      </c>
    </row>
    <row r="195" spans="2:11" x14ac:dyDescent="0.25">
      <c r="B195" s="6" t="s">
        <v>696</v>
      </c>
      <c r="C195" s="8" t="s">
        <v>697</v>
      </c>
      <c r="D195" s="18">
        <f ca="1">IFERROR(INDIRECT(Table_NamedRanges[[#This Row],[Named Range Paste]]),"Undefined/Error")</f>
        <v>0</v>
      </c>
      <c r="E195" s="18" t="str">
        <f>Table_NamedRanges[[#This Row],[Reference Paste]]</f>
        <v>='Travel Expense Summary'!$T$34</v>
      </c>
      <c r="F195" s="18" t="b">
        <f ca="1">ISERROR(VLOOKUP(Table_NamedRanges[[#This Row],[Named Range Paste]],OFFSET(INDEX(Table_ErrorList[],1,1),0,MATCH(Table_ErrorList[[#Headers],[Attention To Named Range]],Table_ErrorList[#Headers],0)-1,ROWS(Table_ErrorList[]),1),1,FALSE))=FALSE</f>
        <v>1</v>
      </c>
      <c r="G195" s="20" t="b">
        <f>MID(Table_NamedRanges[[#This Row],[Reference Text]],2,1)="'"</f>
        <v>1</v>
      </c>
      <c r="H195" s="20">
        <f>(LEN(Table_NamedRanges[[#This Row],[Reference Text]])-LEN(SUBSTITUTE(Table_NamedRanges[[#This Row],[Reference Text]],":","")))/LEN(":")</f>
        <v>0</v>
      </c>
      <c r="I195" s="20" t="b">
        <f>OR(ISERROR(FIND("[",Table_NamedRanges[[#This Row],[Reference Text]],1))=FALSE,ISERROR(FIND("]",Table_NamedRanges[[#This Row],[Reference Text]],1))=FALSE)</f>
        <v>0</v>
      </c>
      <c r="J195" s="20">
        <f>(LEN(Table_NamedRanges[[#This Row],[Reference Text]])-LEN(SUBSTITUTE(Table_NamedRanges[[#This Row],[Reference Text]],",","")))/LEN(",")</f>
        <v>0</v>
      </c>
      <c r="K195" s="20" t="str">
        <f>IF(Table_NamedRanges[[#This Row],[Starts with '']]=FALSE,"Other",IF(AND(Table_NamedRanges[[#This Row],[Count of Colon ":"]]=0,Table_NamedRanges[[#This Row],[Count of ","]]=0),"Single Cell",IF(Table_NamedRanges[[#This Row],[Count of Colon ":"]]=1,"Single Range", "Multiple (Cell or Range)")))</f>
        <v>Single Cell</v>
      </c>
    </row>
    <row r="196" spans="2:11" x14ac:dyDescent="0.25">
      <c r="B196" s="6" t="s">
        <v>698</v>
      </c>
      <c r="C196" s="8" t="s">
        <v>699</v>
      </c>
      <c r="D196" s="18">
        <f ca="1">IFERROR(INDIRECT(Table_NamedRanges[[#This Row],[Named Range Paste]]),"Undefined/Error")</f>
        <v>0</v>
      </c>
      <c r="E196" s="18" t="str">
        <f>Table_NamedRanges[[#This Row],[Reference Paste]]</f>
        <v>='Travel Expense Summary'!$T$35</v>
      </c>
      <c r="F196" s="18" t="b">
        <f ca="1">ISERROR(VLOOKUP(Table_NamedRanges[[#This Row],[Named Range Paste]],OFFSET(INDEX(Table_ErrorList[],1,1),0,MATCH(Table_ErrorList[[#Headers],[Attention To Named Range]],Table_ErrorList[#Headers],0)-1,ROWS(Table_ErrorList[]),1),1,FALSE))=FALSE</f>
        <v>1</v>
      </c>
      <c r="G196" s="20" t="b">
        <f>MID(Table_NamedRanges[[#This Row],[Reference Text]],2,1)="'"</f>
        <v>1</v>
      </c>
      <c r="H196" s="20">
        <f>(LEN(Table_NamedRanges[[#This Row],[Reference Text]])-LEN(SUBSTITUTE(Table_NamedRanges[[#This Row],[Reference Text]],":","")))/LEN(":")</f>
        <v>0</v>
      </c>
      <c r="I196" s="20" t="b">
        <f>OR(ISERROR(FIND("[",Table_NamedRanges[[#This Row],[Reference Text]],1))=FALSE,ISERROR(FIND("]",Table_NamedRanges[[#This Row],[Reference Text]],1))=FALSE)</f>
        <v>0</v>
      </c>
      <c r="J196" s="20">
        <f>(LEN(Table_NamedRanges[[#This Row],[Reference Text]])-LEN(SUBSTITUTE(Table_NamedRanges[[#This Row],[Reference Text]],",","")))/LEN(",")</f>
        <v>0</v>
      </c>
      <c r="K196" s="20" t="str">
        <f>IF(Table_NamedRanges[[#This Row],[Starts with '']]=FALSE,"Other",IF(AND(Table_NamedRanges[[#This Row],[Count of Colon ":"]]=0,Table_NamedRanges[[#This Row],[Count of ","]]=0),"Single Cell",IF(Table_NamedRanges[[#This Row],[Count of Colon ":"]]=1,"Single Range", "Multiple (Cell or Range)")))</f>
        <v>Single Cell</v>
      </c>
    </row>
    <row r="197" spans="2:11" x14ac:dyDescent="0.25">
      <c r="B197" s="6" t="s">
        <v>813</v>
      </c>
      <c r="C197" s="8" t="s">
        <v>572</v>
      </c>
      <c r="D197" s="18">
        <f ca="1">IFERROR(INDIRECT(Table_NamedRanges[[#This Row],[Named Range Paste]]),"Undefined/Error")</f>
        <v>0</v>
      </c>
      <c r="E197" s="18" t="str">
        <f>Table_NamedRanges[[#This Row],[Reference Paste]]</f>
        <v>='Travel Expense Summary'!$T$36</v>
      </c>
      <c r="F197" s="18" t="b">
        <f ca="1">ISERROR(VLOOKUP(Table_NamedRanges[[#This Row],[Named Range Paste]],OFFSET(INDEX(Table_ErrorList[],1,1),0,MATCH(Table_ErrorList[[#Headers],[Attention To Named Range]],Table_ErrorList[#Headers],0)-1,ROWS(Table_ErrorList[]),1),1,FALSE))=FALSE</f>
        <v>1</v>
      </c>
      <c r="G197" s="20" t="b">
        <f>MID(Table_NamedRanges[[#This Row],[Reference Text]],2,1)="'"</f>
        <v>1</v>
      </c>
      <c r="H197" s="20">
        <f>(LEN(Table_NamedRanges[[#This Row],[Reference Text]])-LEN(SUBSTITUTE(Table_NamedRanges[[#This Row],[Reference Text]],":","")))/LEN(":")</f>
        <v>0</v>
      </c>
      <c r="I197" s="20" t="b">
        <f>OR(ISERROR(FIND("[",Table_NamedRanges[[#This Row],[Reference Text]],1))=FALSE,ISERROR(FIND("]",Table_NamedRanges[[#This Row],[Reference Text]],1))=FALSE)</f>
        <v>0</v>
      </c>
      <c r="J197" s="20">
        <f>(LEN(Table_NamedRanges[[#This Row],[Reference Text]])-LEN(SUBSTITUTE(Table_NamedRanges[[#This Row],[Reference Text]],",","")))/LEN(",")</f>
        <v>0</v>
      </c>
      <c r="K197" s="20" t="str">
        <f>IF(Table_NamedRanges[[#This Row],[Starts with '']]=FALSE,"Other",IF(AND(Table_NamedRanges[[#This Row],[Count of Colon ":"]]=0,Table_NamedRanges[[#This Row],[Count of ","]]=0),"Single Cell",IF(Table_NamedRanges[[#This Row],[Count of Colon ":"]]=1,"Single Range", "Multiple (Cell or Range)")))</f>
        <v>Single Cell</v>
      </c>
    </row>
    <row r="198" spans="2:11" x14ac:dyDescent="0.25">
      <c r="B198" s="6" t="s">
        <v>700</v>
      </c>
      <c r="C198" s="8" t="s">
        <v>701</v>
      </c>
      <c r="D198" s="18">
        <f ca="1">IFERROR(INDIRECT(Table_NamedRanges[[#This Row],[Named Range Paste]]),"Undefined/Error")</f>
        <v>0</v>
      </c>
      <c r="E198" s="18" t="str">
        <f>Table_NamedRanges[[#This Row],[Reference Paste]]</f>
        <v>='Travel Expense Summary'!$T$37</v>
      </c>
      <c r="F198" s="18" t="b">
        <f ca="1">ISERROR(VLOOKUP(Table_NamedRanges[[#This Row],[Named Range Paste]],OFFSET(INDEX(Table_ErrorList[],1,1),0,MATCH(Table_ErrorList[[#Headers],[Attention To Named Range]],Table_ErrorList[#Headers],0)-1,ROWS(Table_ErrorList[]),1),1,FALSE))=FALSE</f>
        <v>1</v>
      </c>
      <c r="G198" s="20" t="b">
        <f>MID(Table_NamedRanges[[#This Row],[Reference Text]],2,1)="'"</f>
        <v>1</v>
      </c>
      <c r="H198" s="20">
        <f>(LEN(Table_NamedRanges[[#This Row],[Reference Text]])-LEN(SUBSTITUTE(Table_NamedRanges[[#This Row],[Reference Text]],":","")))/LEN(":")</f>
        <v>0</v>
      </c>
      <c r="I198" s="20" t="b">
        <f>OR(ISERROR(FIND("[",Table_NamedRanges[[#This Row],[Reference Text]],1))=FALSE,ISERROR(FIND("]",Table_NamedRanges[[#This Row],[Reference Text]],1))=FALSE)</f>
        <v>0</v>
      </c>
      <c r="J198" s="20">
        <f>(LEN(Table_NamedRanges[[#This Row],[Reference Text]])-LEN(SUBSTITUTE(Table_NamedRanges[[#This Row],[Reference Text]],",","")))/LEN(",")</f>
        <v>0</v>
      </c>
      <c r="K198" s="20" t="str">
        <f>IF(Table_NamedRanges[[#This Row],[Starts with '']]=FALSE,"Other",IF(AND(Table_NamedRanges[[#This Row],[Count of Colon ":"]]=0,Table_NamedRanges[[#This Row],[Count of ","]]=0),"Single Cell",IF(Table_NamedRanges[[#This Row],[Count of Colon ":"]]=1,"Single Range", "Multiple (Cell or Range)")))</f>
        <v>Single Cell</v>
      </c>
    </row>
    <row r="199" spans="2:11" x14ac:dyDescent="0.25">
      <c r="B199" s="6" t="s">
        <v>1277</v>
      </c>
      <c r="C199" s="8" t="s">
        <v>1278</v>
      </c>
      <c r="D199" s="18" t="b">
        <f ca="1">IFERROR(INDIRECT(Table_NamedRanges[[#This Row],[Named Range Paste]]),"Undefined/Error")</f>
        <v>0</v>
      </c>
      <c r="E199" s="18" t="str">
        <f>Table_NamedRanges[[#This Row],[Reference Paste]]</f>
        <v>='Particulars Validation'!$W$16</v>
      </c>
      <c r="F199" s="18" t="b">
        <f ca="1">ISERROR(VLOOKUP(Table_NamedRanges[[#This Row],[Named Range Paste]],OFFSET(INDEX(Table_ErrorList[],1,1),0,MATCH(Table_ErrorList[[#Headers],[Attention To Named Range]],Table_ErrorList[#Headers],0)-1,ROWS(Table_ErrorList[]),1),1,FALSE))=FALSE</f>
        <v>0</v>
      </c>
      <c r="G199" s="20" t="b">
        <f>MID(Table_NamedRanges[[#This Row],[Reference Text]],2,1)="'"</f>
        <v>1</v>
      </c>
      <c r="H199" s="20">
        <f>(LEN(Table_NamedRanges[[#This Row],[Reference Text]])-LEN(SUBSTITUTE(Table_NamedRanges[[#This Row],[Reference Text]],":","")))/LEN(":")</f>
        <v>0</v>
      </c>
      <c r="I199" s="20" t="b">
        <f>OR(ISERROR(FIND("[",Table_NamedRanges[[#This Row],[Reference Text]],1))=FALSE,ISERROR(FIND("]",Table_NamedRanges[[#This Row],[Reference Text]],1))=FALSE)</f>
        <v>0</v>
      </c>
      <c r="J199" s="20">
        <f>(LEN(Table_NamedRanges[[#This Row],[Reference Text]])-LEN(SUBSTITUTE(Table_NamedRanges[[#This Row],[Reference Text]],",","")))/LEN(",")</f>
        <v>0</v>
      </c>
      <c r="K199" s="20" t="str">
        <f>IF(Table_NamedRanges[[#This Row],[Starts with '']]=FALSE,"Other",IF(AND(Table_NamedRanges[[#This Row],[Count of Colon ":"]]=0,Table_NamedRanges[[#This Row],[Count of ","]]=0),"Single Cell",IF(Table_NamedRanges[[#This Row],[Count of Colon ":"]]=1,"Single Range", "Multiple (Cell or Range)")))</f>
        <v>Single Cell</v>
      </c>
    </row>
    <row r="200" spans="2:11" x14ac:dyDescent="0.25">
      <c r="B200" s="6" t="s">
        <v>907</v>
      </c>
      <c r="C200" s="8" t="s">
        <v>908</v>
      </c>
      <c r="D200" s="18" t="str">
        <f ca="1">IFERROR(INDIRECT(Table_NamedRanges[[#This Row],[Named Range Paste]]),"Undefined/Error")</f>
        <v>Undefined/Error</v>
      </c>
      <c r="E200" s="18" t="str">
        <f>Table_NamedRanges[[#This Row],[Reference Paste]]</f>
        <v>='Travel Expense Summary'!$R$13:$U$22</v>
      </c>
      <c r="F200" s="18" t="b">
        <f ca="1">ISERROR(VLOOKUP(Table_NamedRanges[[#This Row],[Named Range Paste]],OFFSET(INDEX(Table_ErrorList[],1,1),0,MATCH(Table_ErrorList[[#Headers],[Attention To Named Range]],Table_ErrorList[#Headers],0)-1,ROWS(Table_ErrorList[]),1),1,FALSE))=FALSE</f>
        <v>0</v>
      </c>
      <c r="G200" s="20" t="b">
        <f>MID(Table_NamedRanges[[#This Row],[Reference Text]],2,1)="'"</f>
        <v>1</v>
      </c>
      <c r="H200" s="20">
        <f>(LEN(Table_NamedRanges[[#This Row],[Reference Text]])-LEN(SUBSTITUTE(Table_NamedRanges[[#This Row],[Reference Text]],":","")))/LEN(":")</f>
        <v>1</v>
      </c>
      <c r="I200" s="20" t="b">
        <f>OR(ISERROR(FIND("[",Table_NamedRanges[[#This Row],[Reference Text]],1))=FALSE,ISERROR(FIND("]",Table_NamedRanges[[#This Row],[Reference Text]],1))=FALSE)</f>
        <v>0</v>
      </c>
      <c r="J200" s="20">
        <f>(LEN(Table_NamedRanges[[#This Row],[Reference Text]])-LEN(SUBSTITUTE(Table_NamedRanges[[#This Row],[Reference Text]],",","")))/LEN(",")</f>
        <v>0</v>
      </c>
      <c r="K200" s="20" t="str">
        <f>IF(Table_NamedRanges[[#This Row],[Starts with '']]=FALSE,"Other",IF(AND(Table_NamedRanges[[#This Row],[Count of Colon ":"]]=0,Table_NamedRanges[[#This Row],[Count of ","]]=0),"Single Cell",IF(Table_NamedRanges[[#This Row],[Count of Colon ":"]]=1,"Single Range", "Multiple (Cell or Range)")))</f>
        <v>Single Range</v>
      </c>
    </row>
    <row r="201" spans="2:11" ht="30" x14ac:dyDescent="0.25">
      <c r="B201" s="6" t="s">
        <v>248</v>
      </c>
      <c r="C201" s="8" t="s">
        <v>456</v>
      </c>
      <c r="D201" s="18" t="str">
        <f ca="1">IFERROR(INDIRECT(Table_NamedRanges[[#This Row],[Named Range Paste]]),"Undefined/Error")</f>
        <v>Undefined/Error</v>
      </c>
      <c r="E201" s="18" t="str">
        <f>Table_NamedRanges[[#This Row],[Reference Paste]]</f>
        <v>='Travel Expense Summary'!$P$13:$U$22,'Travel Expense Summary'!$I$27:$Y$36</v>
      </c>
      <c r="F201" s="18" t="b">
        <f ca="1">ISERROR(VLOOKUP(Table_NamedRanges[[#This Row],[Named Range Paste]],OFFSET(INDEX(Table_ErrorList[],1,1),0,MATCH(Table_ErrorList[[#Headers],[Attention To Named Range]],Table_ErrorList[#Headers],0)-1,ROWS(Table_ErrorList[]),1),1,FALSE))=FALSE</f>
        <v>0</v>
      </c>
      <c r="G201" s="20" t="b">
        <f>MID(Table_NamedRanges[[#This Row],[Reference Text]],2,1)="'"</f>
        <v>1</v>
      </c>
      <c r="H201" s="20">
        <f>(LEN(Table_NamedRanges[[#This Row],[Reference Text]])-LEN(SUBSTITUTE(Table_NamedRanges[[#This Row],[Reference Text]],":","")))/LEN(":")</f>
        <v>2</v>
      </c>
      <c r="I201" s="20" t="b">
        <f>OR(ISERROR(FIND("[",Table_NamedRanges[[#This Row],[Reference Text]],1))=FALSE,ISERROR(FIND("]",Table_NamedRanges[[#This Row],[Reference Text]],1))=FALSE)</f>
        <v>0</v>
      </c>
      <c r="J201" s="20">
        <f>(LEN(Table_NamedRanges[[#This Row],[Reference Text]])-LEN(SUBSTITUTE(Table_NamedRanges[[#This Row],[Reference Text]],",","")))/LEN(",")</f>
        <v>1</v>
      </c>
      <c r="K201" s="20" t="str">
        <f>IF(Table_NamedRanges[[#This Row],[Starts with '']]=FALSE,"Other",IF(AND(Table_NamedRanges[[#This Row],[Count of Colon ":"]]=0,Table_NamedRanges[[#This Row],[Count of ","]]=0),"Single Cell",IF(Table_NamedRanges[[#This Row],[Count of Colon ":"]]=1,"Single Range", "Multiple (Cell or Range)")))</f>
        <v>Multiple (Cell or Range)</v>
      </c>
    </row>
    <row r="202" spans="2:11" ht="30" x14ac:dyDescent="0.25">
      <c r="B202" s="6" t="s">
        <v>253</v>
      </c>
      <c r="C202" s="8" t="s">
        <v>909</v>
      </c>
      <c r="D202" s="18" t="str">
        <f ca="1">IFERROR(INDIRECT(Table_NamedRanges[[#This Row],[Named Range Paste]]),"Undefined/Error")</f>
        <v>Undefined/Error</v>
      </c>
      <c r="E202" s="18" t="str">
        <f>Table_NamedRanges[[#This Row],[Reference Paste]]</f>
        <v>='Travel Expense Summary'!$O$11,'Travel Expense Summary'!$H$25</v>
      </c>
      <c r="F202" s="18" t="b">
        <f ca="1">ISERROR(VLOOKUP(Table_NamedRanges[[#This Row],[Named Range Paste]],OFFSET(INDEX(Table_ErrorList[],1,1),0,MATCH(Table_ErrorList[[#Headers],[Attention To Named Range]],Table_ErrorList[#Headers],0)-1,ROWS(Table_ErrorList[]),1),1,FALSE))=FALSE</f>
        <v>1</v>
      </c>
      <c r="G202" s="20" t="b">
        <f>MID(Table_NamedRanges[[#This Row],[Reference Text]],2,1)="'"</f>
        <v>1</v>
      </c>
      <c r="H202" s="20">
        <f>(LEN(Table_NamedRanges[[#This Row],[Reference Text]])-LEN(SUBSTITUTE(Table_NamedRanges[[#This Row],[Reference Text]],":","")))/LEN(":")</f>
        <v>0</v>
      </c>
      <c r="I202" s="20" t="b">
        <f>OR(ISERROR(FIND("[",Table_NamedRanges[[#This Row],[Reference Text]],1))=FALSE,ISERROR(FIND("]",Table_NamedRanges[[#This Row],[Reference Text]],1))=FALSE)</f>
        <v>0</v>
      </c>
      <c r="J202" s="20">
        <f>(LEN(Table_NamedRanges[[#This Row],[Reference Text]])-LEN(SUBSTITUTE(Table_NamedRanges[[#This Row],[Reference Text]],",","")))/LEN(",")</f>
        <v>1</v>
      </c>
      <c r="K202" s="20" t="str">
        <f>IF(Table_NamedRanges[[#This Row],[Starts with '']]=FALSE,"Other",IF(AND(Table_NamedRanges[[#This Row],[Count of Colon ":"]]=0,Table_NamedRanges[[#This Row],[Count of ","]]=0),"Single Cell",IF(Table_NamedRanges[[#This Row],[Count of Colon ":"]]=1,"Single Range", "Multiple (Cell or Range)")))</f>
        <v>Multiple (Cell or Range)</v>
      </c>
    </row>
    <row r="203" spans="2:11" x14ac:dyDescent="0.25">
      <c r="B203" s="6" t="s">
        <v>232</v>
      </c>
      <c r="C203" s="8" t="s">
        <v>233</v>
      </c>
      <c r="D203" s="18">
        <f ca="1">IFERROR(INDIRECT(Table_NamedRanges[[#This Row],[Named Range Paste]]),"Undefined/Error")</f>
        <v>91</v>
      </c>
      <c r="E203" s="18" t="str">
        <f>Table_NamedRanges[[#This Row],[Reference Paste]]</f>
        <v>='Particulars Validation'!$D$79</v>
      </c>
      <c r="F203" s="18" t="b">
        <f ca="1">ISERROR(VLOOKUP(Table_NamedRanges[[#This Row],[Named Range Paste]],OFFSET(INDEX(Table_ErrorList[],1,1),0,MATCH(Table_ErrorList[[#Headers],[Attention To Named Range]],Table_ErrorList[#Headers],0)-1,ROWS(Table_ErrorList[]),1),1,FALSE))=FALSE</f>
        <v>0</v>
      </c>
      <c r="G203" s="20" t="b">
        <f>MID(Table_NamedRanges[[#This Row],[Reference Text]],2,1)="'"</f>
        <v>1</v>
      </c>
      <c r="H203" s="20">
        <f>(LEN(Table_NamedRanges[[#This Row],[Reference Text]])-LEN(SUBSTITUTE(Table_NamedRanges[[#This Row],[Reference Text]],":","")))/LEN(":")</f>
        <v>0</v>
      </c>
      <c r="I203" s="20" t="b">
        <f>OR(ISERROR(FIND("[",Table_NamedRanges[[#This Row],[Reference Text]],1))=FALSE,ISERROR(FIND("]",Table_NamedRanges[[#This Row],[Reference Text]],1))=FALSE)</f>
        <v>0</v>
      </c>
      <c r="J203" s="20">
        <f>(LEN(Table_NamedRanges[[#This Row],[Reference Text]])-LEN(SUBSTITUTE(Table_NamedRanges[[#This Row],[Reference Text]],",","")))/LEN(",")</f>
        <v>0</v>
      </c>
      <c r="K203" s="20" t="str">
        <f>IF(Table_NamedRanges[[#This Row],[Starts with '']]=FALSE,"Other",IF(AND(Table_NamedRanges[[#This Row],[Count of Colon ":"]]=0,Table_NamedRanges[[#This Row],[Count of ","]]=0),"Single Cell",IF(Table_NamedRanges[[#This Row],[Count of Colon ":"]]=1,"Single Range", "Multiple (Cell or Range)")))</f>
        <v>Single Cell</v>
      </c>
    </row>
    <row r="204" spans="2:11" x14ac:dyDescent="0.25">
      <c r="B204" s="6" t="s">
        <v>234</v>
      </c>
      <c r="C204" s="8" t="s">
        <v>235</v>
      </c>
      <c r="D204" s="18">
        <f ca="1">IFERROR(INDIRECT(Table_NamedRanges[[#This Row],[Named Range Paste]]),"Undefined/Error")</f>
        <v>0</v>
      </c>
      <c r="E204" s="18" t="str">
        <f>Table_NamedRanges[[#This Row],[Reference Paste]]</f>
        <v>='Particulars Validation'!$D$78</v>
      </c>
      <c r="F204" s="18" t="b">
        <f ca="1">ISERROR(VLOOKUP(Table_NamedRanges[[#This Row],[Named Range Paste]],OFFSET(INDEX(Table_ErrorList[],1,1),0,MATCH(Table_ErrorList[[#Headers],[Attention To Named Range]],Table_ErrorList[#Headers],0)-1,ROWS(Table_ErrorList[]),1),1,FALSE))=FALSE</f>
        <v>0</v>
      </c>
      <c r="G204" s="20" t="b">
        <f>MID(Table_NamedRanges[[#This Row],[Reference Text]],2,1)="'"</f>
        <v>1</v>
      </c>
      <c r="H204" s="20">
        <f>(LEN(Table_NamedRanges[[#This Row],[Reference Text]])-LEN(SUBSTITUTE(Table_NamedRanges[[#This Row],[Reference Text]],":","")))/LEN(":")</f>
        <v>0</v>
      </c>
      <c r="I204" s="20" t="b">
        <f>OR(ISERROR(FIND("[",Table_NamedRanges[[#This Row],[Reference Text]],1))=FALSE,ISERROR(FIND("]",Table_NamedRanges[[#This Row],[Reference Text]],1))=FALSE)</f>
        <v>0</v>
      </c>
      <c r="J204" s="20">
        <f>(LEN(Table_NamedRanges[[#This Row],[Reference Text]])-LEN(SUBSTITUTE(Table_NamedRanges[[#This Row],[Reference Text]],",","")))/LEN(",")</f>
        <v>0</v>
      </c>
      <c r="K204" s="20" t="str">
        <f>IF(Table_NamedRanges[[#This Row],[Starts with '']]=FALSE,"Other",IF(AND(Table_NamedRanges[[#This Row],[Count of Colon ":"]]=0,Table_NamedRanges[[#This Row],[Count of ","]]=0),"Single Cell",IF(Table_NamedRanges[[#This Row],[Count of Colon ":"]]=1,"Single Range", "Multiple (Cell or Range)")))</f>
        <v>Single Cell</v>
      </c>
    </row>
    <row r="205" spans="2:11" ht="30" x14ac:dyDescent="0.25">
      <c r="B205" s="6" t="s">
        <v>133</v>
      </c>
      <c r="C205" s="8" t="s">
        <v>457</v>
      </c>
      <c r="D205" s="18" t="str">
        <f ca="1">IFERROR(INDIRECT(Table_NamedRanges[[#This Row],[Named Range Paste]]),"Undefined/Error")</f>
        <v>Undefined/Error</v>
      </c>
      <c r="E205" s="18" t="str">
        <f>Table_NamedRanges[[#This Row],[Reference Paste]]</f>
        <v>='Travel Expense Summary'!$P$13+'Travel Expense Summary'!$P$13:$Z$22</v>
      </c>
      <c r="F205" s="18" t="b">
        <f ca="1">ISERROR(VLOOKUP(Table_NamedRanges[[#This Row],[Named Range Paste]],OFFSET(INDEX(Table_ErrorList[],1,1),0,MATCH(Table_ErrorList[[#Headers],[Attention To Named Range]],Table_ErrorList[#Headers],0)-1,ROWS(Table_ErrorList[]),1),1,FALSE))=FALSE</f>
        <v>0</v>
      </c>
      <c r="G205" s="20" t="b">
        <f>MID(Table_NamedRanges[[#This Row],[Reference Text]],2,1)="'"</f>
        <v>1</v>
      </c>
      <c r="H205" s="20">
        <f>(LEN(Table_NamedRanges[[#This Row],[Reference Text]])-LEN(SUBSTITUTE(Table_NamedRanges[[#This Row],[Reference Text]],":","")))/LEN(":")</f>
        <v>1</v>
      </c>
      <c r="I205" s="20" t="b">
        <f>OR(ISERROR(FIND("[",Table_NamedRanges[[#This Row],[Reference Text]],1))=FALSE,ISERROR(FIND("]",Table_NamedRanges[[#This Row],[Reference Text]],1))=FALSE)</f>
        <v>0</v>
      </c>
      <c r="J205" s="20">
        <f>(LEN(Table_NamedRanges[[#This Row],[Reference Text]])-LEN(SUBSTITUTE(Table_NamedRanges[[#This Row],[Reference Text]],",","")))/LEN(",")</f>
        <v>0</v>
      </c>
      <c r="K205" s="20" t="str">
        <f>IF(Table_NamedRanges[[#This Row],[Starts with '']]=FALSE,"Other",IF(AND(Table_NamedRanges[[#This Row],[Count of Colon ":"]]=0,Table_NamedRanges[[#This Row],[Count of ","]]=0),"Single Cell",IF(Table_NamedRanges[[#This Row],[Count of Colon ":"]]=1,"Single Range", "Multiple (Cell or Range)")))</f>
        <v>Single Range</v>
      </c>
    </row>
    <row r="206" spans="2:11" x14ac:dyDescent="0.25">
      <c r="B206" s="6" t="s">
        <v>134</v>
      </c>
      <c r="C206" s="8" t="s">
        <v>458</v>
      </c>
      <c r="D206" s="18" t="str">
        <f ca="1">IFERROR(INDIRECT(Table_NamedRanges[[#This Row],[Named Range Paste]]),"Undefined/Error")</f>
        <v>Undefined/Error</v>
      </c>
      <c r="E206" s="18" t="str">
        <f>Table_NamedRanges[[#This Row],[Reference Paste]]</f>
        <v>='Travel Expense Summary'!$J$27:$Z$36</v>
      </c>
      <c r="F206" s="18" t="b">
        <f ca="1">ISERROR(VLOOKUP(Table_NamedRanges[[#This Row],[Named Range Paste]],OFFSET(INDEX(Table_ErrorList[],1,1),0,MATCH(Table_ErrorList[[#Headers],[Attention To Named Range]],Table_ErrorList[#Headers],0)-1,ROWS(Table_ErrorList[]),1),1,FALSE))=FALSE</f>
        <v>0</v>
      </c>
      <c r="G206" s="20" t="b">
        <f>MID(Table_NamedRanges[[#This Row],[Reference Text]],2,1)="'"</f>
        <v>1</v>
      </c>
      <c r="H206" s="20">
        <f>(LEN(Table_NamedRanges[[#This Row],[Reference Text]])-LEN(SUBSTITUTE(Table_NamedRanges[[#This Row],[Reference Text]],":","")))/LEN(":")</f>
        <v>1</v>
      </c>
      <c r="I206" s="20" t="b">
        <f>OR(ISERROR(FIND("[",Table_NamedRanges[[#This Row],[Reference Text]],1))=FALSE,ISERROR(FIND("]",Table_NamedRanges[[#This Row],[Reference Text]],1))=FALSE)</f>
        <v>0</v>
      </c>
      <c r="J206" s="20">
        <f>(LEN(Table_NamedRanges[[#This Row],[Reference Text]])-LEN(SUBSTITUTE(Table_NamedRanges[[#This Row],[Reference Text]],",","")))/LEN(",")</f>
        <v>0</v>
      </c>
      <c r="K206" s="20" t="str">
        <f>IF(Table_NamedRanges[[#This Row],[Starts with '']]=FALSE,"Other",IF(AND(Table_NamedRanges[[#This Row],[Count of Colon ":"]]=0,Table_NamedRanges[[#This Row],[Count of ","]]=0),"Single Cell",IF(Table_NamedRanges[[#This Row],[Count of Colon ":"]]=1,"Single Range", "Multiple (Cell or Range)")))</f>
        <v>Single Range</v>
      </c>
    </row>
    <row r="207" spans="2:11" ht="75" x14ac:dyDescent="0.25">
      <c r="B207" s="6" t="s">
        <v>494</v>
      </c>
      <c r="C207" s="8" t="s">
        <v>495</v>
      </c>
      <c r="D207" s="18" t="str">
        <f ca="1">IFERROR(INDIRECT(Table_NamedRanges[[#This Row],[Named Range Paste]]),"Undefined/Error")</f>
        <v>Undefined/Error</v>
      </c>
      <c r="E207" s="18" t="str">
        <f>Table_NamedRanges[[#This Row],[Reference Paste]]</f>
        <v>=IF(IFERROR(VLOOKUP(Field17_ClaimType,Table_ClaimType,MATCH(Table_ClaimType[[#Headers],[Advance Amount Available]],Table_ClaimType[#Headers],0),FALSE),FALSE),-Field18_TravelAdvanceAmount,0)</v>
      </c>
      <c r="F207" s="18" t="b">
        <f ca="1">ISERROR(VLOOKUP(Table_NamedRanges[[#This Row],[Named Range Paste]],OFFSET(INDEX(Table_ErrorList[],1,1),0,MATCH(Table_ErrorList[[#Headers],[Attention To Named Range]],Table_ErrorList[#Headers],0)-1,ROWS(Table_ErrorList[]),1),1,FALSE))=FALSE</f>
        <v>0</v>
      </c>
      <c r="G207" s="20" t="b">
        <f>MID(Table_NamedRanges[[#This Row],[Reference Text]],2,1)="'"</f>
        <v>0</v>
      </c>
      <c r="H207" s="20">
        <f>(LEN(Table_NamedRanges[[#This Row],[Reference Text]])-LEN(SUBSTITUTE(Table_NamedRanges[[#This Row],[Reference Text]],":","")))/LEN(":")</f>
        <v>0</v>
      </c>
      <c r="I207" s="20" t="b">
        <f>OR(ISERROR(FIND("[",Table_NamedRanges[[#This Row],[Reference Text]],1))=FALSE,ISERROR(FIND("]",Table_NamedRanges[[#This Row],[Reference Text]],1))=FALSE)</f>
        <v>1</v>
      </c>
      <c r="J207" s="20">
        <f>(LEN(Table_NamedRanges[[#This Row],[Reference Text]])-LEN(SUBSTITUTE(Table_NamedRanges[[#This Row],[Reference Text]],",","")))/LEN(",")</f>
        <v>9</v>
      </c>
      <c r="K207" s="20" t="str">
        <f>IF(Table_NamedRanges[[#This Row],[Starts with '']]=FALSE,"Other",IF(AND(Table_NamedRanges[[#This Row],[Count of Colon ":"]]=0,Table_NamedRanges[[#This Row],[Count of ","]]=0),"Single Cell",IF(Table_NamedRanges[[#This Row],[Count of Colon ":"]]=1,"Single Range", "Multiple (Cell or Range)")))</f>
        <v>Other</v>
      </c>
    </row>
    <row r="208" spans="2:11" x14ac:dyDescent="0.25">
      <c r="B208" s="6" t="s">
        <v>947</v>
      </c>
      <c r="C208" s="8" t="s">
        <v>948</v>
      </c>
      <c r="D208" s="18" t="str">
        <f ca="1">IFERROR(INDIRECT(Table_NamedRanges[[#This Row],[Named Range Paste]]),"Undefined/Error")</f>
        <v>Undefined/Error</v>
      </c>
      <c r="E208" s="18" t="str">
        <f>Table_NamedRanges[[#This Row],[Reference Paste]]</f>
        <v>=SUM(ClaimAllocation_AmountArray)</v>
      </c>
      <c r="F208" s="18" t="b">
        <f ca="1">ISERROR(VLOOKUP(Table_NamedRanges[[#This Row],[Named Range Paste]],OFFSET(INDEX(Table_ErrorList[],1,1),0,MATCH(Table_ErrorList[[#Headers],[Attention To Named Range]],Table_ErrorList[#Headers],0)-1,ROWS(Table_ErrorList[]),1),1,FALSE))=FALSE</f>
        <v>0</v>
      </c>
      <c r="G208" s="20" t="b">
        <f>MID(Table_NamedRanges[[#This Row],[Reference Text]],2,1)="'"</f>
        <v>0</v>
      </c>
      <c r="H208" s="20">
        <f>(LEN(Table_NamedRanges[[#This Row],[Reference Text]])-LEN(SUBSTITUTE(Table_NamedRanges[[#This Row],[Reference Text]],":","")))/LEN(":")</f>
        <v>0</v>
      </c>
      <c r="I208" s="20" t="b">
        <f>OR(ISERROR(FIND("[",Table_NamedRanges[[#This Row],[Reference Text]],1))=FALSE,ISERROR(FIND("]",Table_NamedRanges[[#This Row],[Reference Text]],1))=FALSE)</f>
        <v>0</v>
      </c>
      <c r="J208" s="20">
        <f>(LEN(Table_NamedRanges[[#This Row],[Reference Text]])-LEN(SUBSTITUTE(Table_NamedRanges[[#This Row],[Reference Text]],",","")))/LEN(",")</f>
        <v>0</v>
      </c>
      <c r="K208" s="20" t="str">
        <f>IF(Table_NamedRanges[[#This Row],[Starts with '']]=FALSE,"Other",IF(AND(Table_NamedRanges[[#This Row],[Count of Colon ":"]]=0,Table_NamedRanges[[#This Row],[Count of ","]]=0),"Single Cell",IF(Table_NamedRanges[[#This Row],[Count of Colon ":"]]=1,"Single Range", "Multiple (Cell or Range)")))</f>
        <v>Other</v>
      </c>
    </row>
    <row r="209" spans="2:11" ht="60" x14ac:dyDescent="0.25">
      <c r="B209" s="6" t="s">
        <v>496</v>
      </c>
      <c r="C209" s="8" t="s">
        <v>539</v>
      </c>
      <c r="D209" s="18" t="str">
        <f ca="1">IFERROR(INDIRECT(Table_NamedRanges[[#This Row],[Named Range Paste]]),"Undefined/Error")</f>
        <v>Undefined/Error</v>
      </c>
      <c r="E209" s="18" t="str">
        <f>Table_NamedRanges[[#This Row],[Reference Paste]]</f>
        <v>=IF(OR(Field30_MaximumAmount=0,Field30_MaximumAmount=""),Total_ExpenseClaimed,IF(Field30_MaximumAmount&lt;=Total_ExpenseClaimed,Field30_MaximumAmount,Total_ExpenseClaimed))</v>
      </c>
      <c r="F209" s="18" t="b">
        <f ca="1">ISERROR(VLOOKUP(Table_NamedRanges[[#This Row],[Named Range Paste]],OFFSET(INDEX(Table_ErrorList[],1,1),0,MATCH(Table_ErrorList[[#Headers],[Attention To Named Range]],Table_ErrorList[#Headers],0)-1,ROWS(Table_ErrorList[]),1),1,FALSE))=FALSE</f>
        <v>0</v>
      </c>
      <c r="G209" s="20" t="b">
        <f>MID(Table_NamedRanges[[#This Row],[Reference Text]],2,1)="'"</f>
        <v>0</v>
      </c>
      <c r="H209" s="20">
        <f>(LEN(Table_NamedRanges[[#This Row],[Reference Text]])-LEN(SUBSTITUTE(Table_NamedRanges[[#This Row],[Reference Text]],":","")))/LEN(":")</f>
        <v>0</v>
      </c>
      <c r="I209" s="20" t="b">
        <f>OR(ISERROR(FIND("[",Table_NamedRanges[[#This Row],[Reference Text]],1))=FALSE,ISERROR(FIND("]",Table_NamedRanges[[#This Row],[Reference Text]],1))=FALSE)</f>
        <v>0</v>
      </c>
      <c r="J209" s="20">
        <f>(LEN(Table_NamedRanges[[#This Row],[Reference Text]])-LEN(SUBSTITUTE(Table_NamedRanges[[#This Row],[Reference Text]],",","")))/LEN(",")</f>
        <v>5</v>
      </c>
      <c r="K209" s="20" t="str">
        <f>IF(Table_NamedRanges[[#This Row],[Starts with '']]=FALSE,"Other",IF(AND(Table_NamedRanges[[#This Row],[Count of Colon ":"]]=0,Table_NamedRanges[[#This Row],[Count of ","]]=0),"Single Cell",IF(Table_NamedRanges[[#This Row],[Count of Colon ":"]]=1,"Single Range", "Multiple (Cell or Range)")))</f>
        <v>Other</v>
      </c>
    </row>
    <row r="210" spans="2:11" ht="30" x14ac:dyDescent="0.25">
      <c r="B210" s="6" t="s">
        <v>497</v>
      </c>
      <c r="C210" s="8" t="s">
        <v>949</v>
      </c>
      <c r="D210" s="18" t="str">
        <f ca="1">IFERROR(INDIRECT(Table_NamedRanges[[#This Row],[Named Range Paste]]),"Undefined/Error")</f>
        <v>Undefined/Error</v>
      </c>
      <c r="E210" s="18" t="str">
        <f>Table_NamedRanges[[#This Row],[Reference Paste]]</f>
        <v>=SUM(Total_Meals,Total_TransAccomm,Total_Registration)</v>
      </c>
      <c r="F210" s="18" t="b">
        <f ca="1">ISERROR(VLOOKUP(Table_NamedRanges[[#This Row],[Named Range Paste]],OFFSET(INDEX(Table_ErrorList[],1,1),0,MATCH(Table_ErrorList[[#Headers],[Attention To Named Range]],Table_ErrorList[#Headers],0)-1,ROWS(Table_ErrorList[]),1),1,FALSE))=FALSE</f>
        <v>0</v>
      </c>
      <c r="G210" s="20" t="b">
        <f>MID(Table_NamedRanges[[#This Row],[Reference Text]],2,1)="'"</f>
        <v>0</v>
      </c>
      <c r="H210" s="20">
        <f>(LEN(Table_NamedRanges[[#This Row],[Reference Text]])-LEN(SUBSTITUTE(Table_NamedRanges[[#This Row],[Reference Text]],":","")))/LEN(":")</f>
        <v>0</v>
      </c>
      <c r="I210" s="20" t="b">
        <f>OR(ISERROR(FIND("[",Table_NamedRanges[[#This Row],[Reference Text]],1))=FALSE,ISERROR(FIND("]",Table_NamedRanges[[#This Row],[Reference Text]],1))=FALSE)</f>
        <v>0</v>
      </c>
      <c r="J210" s="20">
        <f>(LEN(Table_NamedRanges[[#This Row],[Reference Text]])-LEN(SUBSTITUTE(Table_NamedRanges[[#This Row],[Reference Text]],",","")))/LEN(",")</f>
        <v>2</v>
      </c>
      <c r="K210" s="20" t="str">
        <f>IF(Table_NamedRanges[[#This Row],[Starts with '']]=FALSE,"Other",IF(AND(Table_NamedRanges[[#This Row],[Count of Colon ":"]]=0,Table_NamedRanges[[#This Row],[Count of ","]]=0),"Single Cell",IF(Table_NamedRanges[[#This Row],[Count of Colon ":"]]=1,"Single Range", "Multiple (Cell or Range)")))</f>
        <v>Other</v>
      </c>
    </row>
    <row r="211" spans="2:11" ht="30" x14ac:dyDescent="0.25">
      <c r="B211" s="6" t="s">
        <v>498</v>
      </c>
      <c r="C211" s="8" t="s">
        <v>950</v>
      </c>
      <c r="D211" s="18" t="str">
        <f ca="1">IFERROR(INDIRECT(Table_NamedRanges[[#This Row],[Named Range Paste]]),"Undefined/Error")</f>
        <v>Undefined/Error</v>
      </c>
      <c r="E211" s="18" t="str">
        <f>Table_NamedRanges[[#This Row],[Reference Paste]]</f>
        <v>=SUMIF(Other_ExpenseTypeArray,"Meals*",Other_TotalArray)+'Travel Expense Summary'!$Z$23</v>
      </c>
      <c r="F211" s="18" t="b">
        <f ca="1">ISERROR(VLOOKUP(Table_NamedRanges[[#This Row],[Named Range Paste]],OFFSET(INDEX(Table_ErrorList[],1,1),0,MATCH(Table_ErrorList[[#Headers],[Attention To Named Range]],Table_ErrorList[#Headers],0)-1,ROWS(Table_ErrorList[]),1),1,FALSE))=FALSE</f>
        <v>0</v>
      </c>
      <c r="G211" s="20" t="b">
        <f>MID(Table_NamedRanges[[#This Row],[Reference Text]],2,1)="'"</f>
        <v>0</v>
      </c>
      <c r="H211" s="20">
        <f>(LEN(Table_NamedRanges[[#This Row],[Reference Text]])-LEN(SUBSTITUTE(Table_NamedRanges[[#This Row],[Reference Text]],":","")))/LEN(":")</f>
        <v>0</v>
      </c>
      <c r="I211" s="20" t="b">
        <f>OR(ISERROR(FIND("[",Table_NamedRanges[[#This Row],[Reference Text]],1))=FALSE,ISERROR(FIND("]",Table_NamedRanges[[#This Row],[Reference Text]],1))=FALSE)</f>
        <v>0</v>
      </c>
      <c r="J211" s="20">
        <f>(LEN(Table_NamedRanges[[#This Row],[Reference Text]])-LEN(SUBSTITUTE(Table_NamedRanges[[#This Row],[Reference Text]],",","")))/LEN(",")</f>
        <v>2</v>
      </c>
      <c r="K211" s="20" t="str">
        <f>IF(Table_NamedRanges[[#This Row],[Starts with '']]=FALSE,"Other",IF(AND(Table_NamedRanges[[#This Row],[Count of Colon ":"]]=0,Table_NamedRanges[[#This Row],[Count of ","]]=0),"Single Cell",IF(Table_NamedRanges[[#This Row],[Count of Colon ":"]]=1,"Single Range", "Multiple (Cell or Range)")))</f>
        <v>Other</v>
      </c>
    </row>
    <row r="212" spans="2:11" x14ac:dyDescent="0.25">
      <c r="B212" s="6" t="s">
        <v>499</v>
      </c>
      <c r="C212" s="8" t="s">
        <v>459</v>
      </c>
      <c r="D212" s="18">
        <f ca="1">IFERROR(INDIRECT(Table_NamedRanges[[#This Row],[Named Range Paste]]),"Undefined/Error")</f>
        <v>0</v>
      </c>
      <c r="E212" s="18" t="str">
        <f>Table_NamedRanges[[#This Row],[Reference Paste]]</f>
        <v>='Travel Expense Summary'!$Z$38</v>
      </c>
      <c r="F212" s="18" t="b">
        <f ca="1">ISERROR(VLOOKUP(Table_NamedRanges[[#This Row],[Named Range Paste]],OFFSET(INDEX(Table_ErrorList[],1,1),0,MATCH(Table_ErrorList[[#Headers],[Attention To Named Range]],Table_ErrorList[#Headers],0)-1,ROWS(Table_ErrorList[]),1),1,FALSE))=FALSE</f>
        <v>0</v>
      </c>
      <c r="G212" s="20" t="b">
        <f>MID(Table_NamedRanges[[#This Row],[Reference Text]],2,1)="'"</f>
        <v>1</v>
      </c>
      <c r="H212" s="20">
        <f>(LEN(Table_NamedRanges[[#This Row],[Reference Text]])-LEN(SUBSTITUTE(Table_NamedRanges[[#This Row],[Reference Text]],":","")))/LEN(":")</f>
        <v>0</v>
      </c>
      <c r="I212" s="20" t="b">
        <f>OR(ISERROR(FIND("[",Table_NamedRanges[[#This Row],[Reference Text]],1))=FALSE,ISERROR(FIND("]",Table_NamedRanges[[#This Row],[Reference Text]],1))=FALSE)</f>
        <v>0</v>
      </c>
      <c r="J212" s="20">
        <f>(LEN(Table_NamedRanges[[#This Row],[Reference Text]])-LEN(SUBSTITUTE(Table_NamedRanges[[#This Row],[Reference Text]],",","")))/LEN(",")</f>
        <v>0</v>
      </c>
      <c r="K212" s="20" t="str">
        <f>IF(Table_NamedRanges[[#This Row],[Starts with '']]=FALSE,"Other",IF(AND(Table_NamedRanges[[#This Row],[Count of Colon ":"]]=0,Table_NamedRanges[[#This Row],[Count of ","]]=0),"Single Cell",IF(Table_NamedRanges[[#This Row],[Count of Colon ":"]]=1,"Single Range", "Multiple (Cell or Range)")))</f>
        <v>Single Cell</v>
      </c>
    </row>
    <row r="213" spans="2:11" x14ac:dyDescent="0.25">
      <c r="B213" s="6" t="s">
        <v>500</v>
      </c>
      <c r="C213" s="8" t="s">
        <v>501</v>
      </c>
      <c r="D213" s="18" t="str">
        <f ca="1">IFERROR(INDIRECT(Table_NamedRanges[[#This Row],[Named Range Paste]]),"Undefined/Error")</f>
        <v>Undefined/Error</v>
      </c>
      <c r="E213" s="18" t="str">
        <f>Table_NamedRanges[[#This Row],[Reference Paste]]</f>
        <v>=Total_Eligible+Total_Advance</v>
      </c>
      <c r="F213" s="18" t="b">
        <f ca="1">ISERROR(VLOOKUP(Table_NamedRanges[[#This Row],[Named Range Paste]],OFFSET(INDEX(Table_ErrorList[],1,1),0,MATCH(Table_ErrorList[[#Headers],[Attention To Named Range]],Table_ErrorList[#Headers],0)-1,ROWS(Table_ErrorList[]),1),1,FALSE))=FALSE</f>
        <v>0</v>
      </c>
      <c r="G213" s="20" t="b">
        <f>MID(Table_NamedRanges[[#This Row],[Reference Text]],2,1)="'"</f>
        <v>0</v>
      </c>
      <c r="H213" s="20">
        <f>(LEN(Table_NamedRanges[[#This Row],[Reference Text]])-LEN(SUBSTITUTE(Table_NamedRanges[[#This Row],[Reference Text]],":","")))/LEN(":")</f>
        <v>0</v>
      </c>
      <c r="I213" s="20" t="b">
        <f>OR(ISERROR(FIND("[",Table_NamedRanges[[#This Row],[Reference Text]],1))=FALSE,ISERROR(FIND("]",Table_NamedRanges[[#This Row],[Reference Text]],1))=FALSE)</f>
        <v>0</v>
      </c>
      <c r="J213" s="20">
        <f>(LEN(Table_NamedRanges[[#This Row],[Reference Text]])-LEN(SUBSTITUTE(Table_NamedRanges[[#This Row],[Reference Text]],",","")))/LEN(",")</f>
        <v>0</v>
      </c>
      <c r="K213" s="20" t="str">
        <f>IF(Table_NamedRanges[[#This Row],[Starts with '']]=FALSE,"Other",IF(AND(Table_NamedRanges[[#This Row],[Count of Colon ":"]]=0,Table_NamedRanges[[#This Row],[Count of ","]]=0),"Single Cell",IF(Table_NamedRanges[[#This Row],[Count of Colon ":"]]=1,"Single Range", "Multiple (Cell or Range)")))</f>
        <v>Other</v>
      </c>
    </row>
    <row r="214" spans="2:11" ht="30" x14ac:dyDescent="0.25">
      <c r="B214" s="6" t="s">
        <v>502</v>
      </c>
      <c r="C214" s="8" t="s">
        <v>863</v>
      </c>
      <c r="D214" s="18" t="str">
        <f ca="1">IFERROR(INDIRECT(Table_NamedRanges[[#This Row],[Named Range Paste]]),"Undefined/Error")</f>
        <v>Undefined/Error</v>
      </c>
      <c r="E214" s="18" t="str">
        <f>Table_NamedRanges[[#This Row],[Reference Paste]]</f>
        <v>=SUMIF(Other_ExpenseTypeArray,"Reg*",Other_TotalArray)</v>
      </c>
      <c r="F214" s="18" t="b">
        <f ca="1">ISERROR(VLOOKUP(Table_NamedRanges[[#This Row],[Named Range Paste]],OFFSET(INDEX(Table_ErrorList[],1,1),0,MATCH(Table_ErrorList[[#Headers],[Attention To Named Range]],Table_ErrorList[#Headers],0)-1,ROWS(Table_ErrorList[]),1),1,FALSE))=FALSE</f>
        <v>0</v>
      </c>
      <c r="G214" s="20" t="b">
        <f>MID(Table_NamedRanges[[#This Row],[Reference Text]],2,1)="'"</f>
        <v>0</v>
      </c>
      <c r="H214" s="20">
        <f>(LEN(Table_NamedRanges[[#This Row],[Reference Text]])-LEN(SUBSTITUTE(Table_NamedRanges[[#This Row],[Reference Text]],":","")))/LEN(":")</f>
        <v>0</v>
      </c>
      <c r="I214" s="20" t="b">
        <f>OR(ISERROR(FIND("[",Table_NamedRanges[[#This Row],[Reference Text]],1))=FALSE,ISERROR(FIND("]",Table_NamedRanges[[#This Row],[Reference Text]],1))=FALSE)</f>
        <v>0</v>
      </c>
      <c r="J214" s="20">
        <f>(LEN(Table_NamedRanges[[#This Row],[Reference Text]])-LEN(SUBSTITUTE(Table_NamedRanges[[#This Row],[Reference Text]],",","")))/LEN(",")</f>
        <v>2</v>
      </c>
      <c r="K214" s="20" t="str">
        <f>IF(Table_NamedRanges[[#This Row],[Starts with '']]=FALSE,"Other",IF(AND(Table_NamedRanges[[#This Row],[Count of Colon ":"]]=0,Table_NamedRanges[[#This Row],[Count of ","]]=0),"Single Cell",IF(Table_NamedRanges[[#This Row],[Count of Colon ":"]]=1,"Single Range", "Multiple (Cell or Range)")))</f>
        <v>Other</v>
      </c>
    </row>
    <row r="215" spans="2:11" ht="45" x14ac:dyDescent="0.25">
      <c r="B215" s="6" t="s">
        <v>503</v>
      </c>
      <c r="C215" s="8" t="s">
        <v>864</v>
      </c>
      <c r="D215" s="18" t="str">
        <f ca="1">IFERROR(INDIRECT(Table_NamedRanges[[#This Row],[Named Range Paste]]),"Undefined/Error")</f>
        <v>Undefined/Error</v>
      </c>
      <c r="E215" s="18" t="str">
        <f>Table_NamedRanges[[#This Row],[Reference Paste]]</f>
        <v>=SUMIF(Other_ExpenseTypeArray,"Trans*",Other_TotalArray)+SUMIF(Other_ExpenseTypeArray,"Accomm*",Other_TotalArray)</v>
      </c>
      <c r="F215" s="18" t="b">
        <f ca="1">ISERROR(VLOOKUP(Table_NamedRanges[[#This Row],[Named Range Paste]],OFFSET(INDEX(Table_ErrorList[],1,1),0,MATCH(Table_ErrorList[[#Headers],[Attention To Named Range]],Table_ErrorList[#Headers],0)-1,ROWS(Table_ErrorList[]),1),1,FALSE))=FALSE</f>
        <v>0</v>
      </c>
      <c r="G215" s="20" t="b">
        <f>MID(Table_NamedRanges[[#This Row],[Reference Text]],2,1)="'"</f>
        <v>0</v>
      </c>
      <c r="H215" s="20">
        <f>(LEN(Table_NamedRanges[[#This Row],[Reference Text]])-LEN(SUBSTITUTE(Table_NamedRanges[[#This Row],[Reference Text]],":","")))/LEN(":")</f>
        <v>0</v>
      </c>
      <c r="I215" s="20" t="b">
        <f>OR(ISERROR(FIND("[",Table_NamedRanges[[#This Row],[Reference Text]],1))=FALSE,ISERROR(FIND("]",Table_NamedRanges[[#This Row],[Reference Text]],1))=FALSE)</f>
        <v>0</v>
      </c>
      <c r="J215" s="20">
        <f>(LEN(Table_NamedRanges[[#This Row],[Reference Text]])-LEN(SUBSTITUTE(Table_NamedRanges[[#This Row],[Reference Text]],",","")))/LEN(",")</f>
        <v>4</v>
      </c>
      <c r="K215" s="20" t="str">
        <f>IF(Table_NamedRanges[[#This Row],[Starts with '']]=FALSE,"Other",IF(AND(Table_NamedRanges[[#This Row],[Count of Colon ":"]]=0,Table_NamedRanges[[#This Row],[Count of ","]]=0),"Single Cell",IF(Table_NamedRanges[[#This Row],[Count of Colon ":"]]=1,"Single Range", "Multiple (Cell or Range)")))</f>
        <v>Other</v>
      </c>
    </row>
    <row r="216" spans="2:11" x14ac:dyDescent="0.25">
      <c r="B216" s="6" t="s">
        <v>236</v>
      </c>
      <c r="C216" s="8" t="s">
        <v>563</v>
      </c>
      <c r="D216" s="18" t="str">
        <f ca="1">IFERROR(INDIRECT(Table_NamedRanges[[#This Row],[Named Range Paste]]),"Undefined/Error")</f>
        <v>- - - - - -</v>
      </c>
      <c r="E216" s="18" t="str">
        <f>Table_NamedRanges[[#This Row],[Reference Paste]]</f>
        <v>='Text Summary'!$B$3</v>
      </c>
      <c r="F216" s="18" t="b">
        <f ca="1">ISERROR(VLOOKUP(Table_NamedRanges[[#This Row],[Named Range Paste]],OFFSET(INDEX(Table_ErrorList[],1,1),0,MATCH(Table_ErrorList[[#Headers],[Attention To Named Range]],Table_ErrorList[#Headers],0)-1,ROWS(Table_ErrorList[]),1),1,FALSE))=FALSE</f>
        <v>0</v>
      </c>
      <c r="G216" s="20" t="b">
        <f>MID(Table_NamedRanges[[#This Row],[Reference Text]],2,1)="'"</f>
        <v>1</v>
      </c>
      <c r="H216" s="20">
        <f>(LEN(Table_NamedRanges[[#This Row],[Reference Text]])-LEN(SUBSTITUTE(Table_NamedRanges[[#This Row],[Reference Text]],":","")))/LEN(":")</f>
        <v>0</v>
      </c>
      <c r="I216" s="20" t="b">
        <f>OR(ISERROR(FIND("[",Table_NamedRanges[[#This Row],[Reference Text]],1))=FALSE,ISERROR(FIND("]",Table_NamedRanges[[#This Row],[Reference Text]],1))=FALSE)</f>
        <v>0</v>
      </c>
      <c r="J216" s="20">
        <f>(LEN(Table_NamedRanges[[#This Row],[Reference Text]])-LEN(SUBSTITUTE(Table_NamedRanges[[#This Row],[Reference Text]],",","")))/LEN(",")</f>
        <v>0</v>
      </c>
      <c r="K216" s="20" t="str">
        <f>IF(Table_NamedRanges[[#This Row],[Starts with '']]=FALSE,"Other",IF(AND(Table_NamedRanges[[#This Row],[Count of Colon ":"]]=0,Table_NamedRanges[[#This Row],[Count of ","]]=0),"Single Cell",IF(Table_NamedRanges[[#This Row],[Count of Colon ":"]]=1,"Single Range", "Multiple (Cell or Range)")))</f>
        <v>Single Cell</v>
      </c>
    </row>
    <row r="217" spans="2:11" x14ac:dyDescent="0.25">
      <c r="B217" s="6" t="s">
        <v>237</v>
      </c>
      <c r="C217" s="8" t="s">
        <v>564</v>
      </c>
      <c r="D217" s="18" t="b">
        <f ca="1">IFERROR(INDIRECT(Table_NamedRanges[[#This Row],[Named Range Paste]]),"Undefined/Error")</f>
        <v>0</v>
      </c>
      <c r="E217" s="18" t="str">
        <f>Table_NamedRanges[[#This Row],[Reference Paste]]</f>
        <v>='Text Summary'!$B$2</v>
      </c>
      <c r="F217" s="18" t="b">
        <f ca="1">ISERROR(VLOOKUP(Table_NamedRanges[[#This Row],[Named Range Paste]],OFFSET(INDEX(Table_ErrorList[],1,1),0,MATCH(Table_ErrorList[[#Headers],[Attention To Named Range]],Table_ErrorList[#Headers],0)-1,ROWS(Table_ErrorList[]),1),1,FALSE))=FALSE</f>
        <v>0</v>
      </c>
      <c r="G217" s="20" t="b">
        <f>MID(Table_NamedRanges[[#This Row],[Reference Text]],2,1)="'"</f>
        <v>1</v>
      </c>
      <c r="H217" s="20">
        <f>(LEN(Table_NamedRanges[[#This Row],[Reference Text]])-LEN(SUBSTITUTE(Table_NamedRanges[[#This Row],[Reference Text]],":","")))/LEN(":")</f>
        <v>0</v>
      </c>
      <c r="I217" s="20" t="b">
        <f>OR(ISERROR(FIND("[",Table_NamedRanges[[#This Row],[Reference Text]],1))=FALSE,ISERROR(FIND("]",Table_NamedRanges[[#This Row],[Reference Text]],1))=FALSE)</f>
        <v>0</v>
      </c>
      <c r="J217" s="20">
        <f>(LEN(Table_NamedRanges[[#This Row],[Reference Text]])-LEN(SUBSTITUTE(Table_NamedRanges[[#This Row],[Reference Text]],",","")))/LEN(",")</f>
        <v>0</v>
      </c>
      <c r="K217" s="20" t="str">
        <f>IF(Table_NamedRanges[[#This Row],[Starts with '']]=FALSE,"Other",IF(AND(Table_NamedRanges[[#This Row],[Count of Colon ":"]]=0,Table_NamedRanges[[#This Row],[Count of ","]]=0),"Single Cell",IF(Table_NamedRanges[[#This Row],[Count of Colon ":"]]=1,"Single Range", "Multiple (Cell or Range)")))</f>
        <v>Single Cell</v>
      </c>
    </row>
  </sheetData>
  <sheetProtection password="EDC4" sheet="1" objects="1" scenarios="1" selectLockedCells="1" selectUnlockedCells="1"/>
  <dataValidations disablePrompts="1" count="1">
    <dataValidation type="list" allowBlank="1" showInputMessage="1" showErrorMessage="1" sqref="K4:K217">
      <formula1>"Single Cell, Single Range, Multiple (Cell or Range), Other"</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81"/>
  <sheetViews>
    <sheetView workbookViewId="0"/>
  </sheetViews>
  <sheetFormatPr defaultRowHeight="15" x14ac:dyDescent="0.25"/>
  <cols>
    <col min="1" max="1" width="39" bestFit="1" customWidth="1"/>
    <col min="3" max="3" width="22.42578125" customWidth="1"/>
    <col min="4" max="5" width="22" customWidth="1"/>
    <col min="7" max="7" width="20.42578125" bestFit="1" customWidth="1"/>
    <col min="8" max="8" width="8.28515625" customWidth="1"/>
    <col min="9" max="9" width="16.85546875" bestFit="1" customWidth="1"/>
    <col min="11" max="11" width="48.5703125" bestFit="1" customWidth="1"/>
    <col min="12" max="12" width="14.7109375" customWidth="1"/>
    <col min="13" max="13" width="32.7109375" bestFit="1" customWidth="1"/>
    <col min="15" max="15" width="42.85546875" bestFit="1" customWidth="1"/>
    <col min="16" max="16" width="9.140625" style="32"/>
    <col min="17" max="17" width="31.28515625" style="32" customWidth="1"/>
    <col min="18" max="18" width="15.7109375" style="32" customWidth="1"/>
    <col min="19" max="19" width="9.140625" style="32"/>
    <col min="20" max="20" width="16.140625" style="32" bestFit="1" customWidth="1"/>
    <col min="21" max="21" width="16.140625" style="32" customWidth="1"/>
    <col min="22" max="23" width="16.7109375" style="32" customWidth="1"/>
    <col min="25" max="25" width="24.140625" bestFit="1" customWidth="1"/>
    <col min="26" max="26" width="24.140625" style="32" customWidth="1"/>
    <col min="27" max="27" width="21.5703125" style="32" bestFit="1" customWidth="1"/>
    <col min="28" max="28" width="11.140625" customWidth="1"/>
    <col min="29" max="29" width="30.7109375" bestFit="1" customWidth="1"/>
    <col min="31" max="31" width="33.28515625" bestFit="1" customWidth="1"/>
    <col min="32" max="32" width="19.28515625" bestFit="1" customWidth="1"/>
    <col min="34" max="34" width="26.5703125" bestFit="1" customWidth="1"/>
    <col min="36" max="36" width="25.7109375" customWidth="1"/>
    <col min="37" max="37" width="29.85546875" style="32" bestFit="1" customWidth="1"/>
    <col min="38" max="38" width="5.28515625" style="32" customWidth="1"/>
    <col min="39" max="39" width="54" style="32" bestFit="1" customWidth="1"/>
    <col min="40" max="40" width="27.85546875" style="32" bestFit="1" customWidth="1"/>
    <col min="41" max="41" width="6.140625" style="32" customWidth="1"/>
    <col min="42" max="42" width="36.42578125" style="32" bestFit="1" customWidth="1"/>
    <col min="43" max="43" width="6.140625" customWidth="1"/>
    <col min="44" max="44" width="14" bestFit="1" customWidth="1"/>
    <col min="45" max="45" width="14.7109375" bestFit="1" customWidth="1"/>
    <col min="48" max="48" width="35.28515625" bestFit="1" customWidth="1"/>
    <col min="49" max="49" width="13" bestFit="1" customWidth="1"/>
    <col min="50" max="50" width="13" style="32" customWidth="1"/>
    <col min="51" max="51" width="59.140625" bestFit="1" customWidth="1"/>
    <col min="54" max="54" width="35.7109375" style="32" bestFit="1" customWidth="1"/>
    <col min="55" max="55" width="23" bestFit="1" customWidth="1"/>
    <col min="56" max="56" width="10.7109375" bestFit="1" customWidth="1"/>
  </cols>
  <sheetData>
    <row r="1" spans="1:56" ht="21" x14ac:dyDescent="0.35">
      <c r="C1" s="351" t="s">
        <v>19</v>
      </c>
      <c r="D1" s="352"/>
      <c r="E1" s="353"/>
      <c r="G1" s="14" t="s">
        <v>50</v>
      </c>
      <c r="I1" s="14" t="s">
        <v>51</v>
      </c>
      <c r="K1" s="14" t="s">
        <v>53</v>
      </c>
      <c r="L1" s="15"/>
      <c r="M1" s="15"/>
      <c r="O1" s="14" t="s">
        <v>58</v>
      </c>
      <c r="Q1" s="14" t="s">
        <v>351</v>
      </c>
      <c r="T1" s="360" t="s">
        <v>1246</v>
      </c>
      <c r="U1" s="361"/>
      <c r="V1" s="361"/>
      <c r="W1" s="361"/>
      <c r="Y1" s="14" t="s">
        <v>119</v>
      </c>
      <c r="Z1" s="15"/>
      <c r="AC1" s="14" t="s">
        <v>383</v>
      </c>
      <c r="AE1" s="14" t="s">
        <v>381</v>
      </c>
      <c r="AF1" s="15"/>
      <c r="AH1" s="14" t="s">
        <v>71</v>
      </c>
      <c r="AJ1" s="14" t="s">
        <v>78</v>
      </c>
      <c r="AK1" s="15"/>
      <c r="AL1" s="68"/>
      <c r="AM1" s="14" t="s">
        <v>389</v>
      </c>
      <c r="AP1" s="14" t="s">
        <v>393</v>
      </c>
      <c r="AV1" s="14" t="s">
        <v>319</v>
      </c>
      <c r="BB1" s="14" t="s">
        <v>902</v>
      </c>
    </row>
    <row r="2" spans="1:56" ht="6" customHeight="1" x14ac:dyDescent="0.25">
      <c r="D2" s="13"/>
      <c r="E2" s="13"/>
    </row>
    <row r="3" spans="1:56" ht="21" x14ac:dyDescent="0.35">
      <c r="A3" s="21" t="s">
        <v>145</v>
      </c>
      <c r="D3" s="10" t="s">
        <v>27</v>
      </c>
      <c r="E3" s="10" t="s">
        <v>26</v>
      </c>
      <c r="G3" t="s">
        <v>100</v>
      </c>
      <c r="I3" t="s">
        <v>98</v>
      </c>
      <c r="K3" t="s">
        <v>55</v>
      </c>
      <c r="O3" t="s">
        <v>93</v>
      </c>
      <c r="Q3" s="32" t="s">
        <v>380</v>
      </c>
      <c r="Y3" t="s">
        <v>120</v>
      </c>
      <c r="Z3" s="32" t="s">
        <v>212</v>
      </c>
      <c r="AC3" t="s">
        <v>137</v>
      </c>
      <c r="AE3" t="s">
        <v>382</v>
      </c>
      <c r="AH3" t="s">
        <v>72</v>
      </c>
      <c r="AJ3" t="s">
        <v>79</v>
      </c>
      <c r="AM3" s="32" t="s">
        <v>390</v>
      </c>
      <c r="AN3" s="32" t="s">
        <v>40</v>
      </c>
      <c r="AP3" s="32" t="s">
        <v>394</v>
      </c>
      <c r="AV3" s="64" t="s">
        <v>305</v>
      </c>
      <c r="AW3" s="64" t="s">
        <v>306</v>
      </c>
      <c r="AX3"/>
      <c r="AY3" s="359" t="s">
        <v>311</v>
      </c>
      <c r="AZ3" s="359"/>
    </row>
    <row r="4" spans="1:56" ht="60" customHeight="1" x14ac:dyDescent="0.25">
      <c r="A4" s="19" t="s">
        <v>49</v>
      </c>
      <c r="C4" s="7"/>
      <c r="D4" s="9" t="s">
        <v>23</v>
      </c>
      <c r="E4" s="9" t="s">
        <v>24</v>
      </c>
      <c r="U4" s="146" t="s">
        <v>1251</v>
      </c>
      <c r="V4" s="145" t="b">
        <f>Field06A_Province&lt;&gt;'Particulars Validation'!$R$21</f>
        <v>1</v>
      </c>
      <c r="W4" s="147"/>
      <c r="Z4" s="32">
        <v>0.42</v>
      </c>
      <c r="AC4" t="s">
        <v>332</v>
      </c>
      <c r="AN4" s="32" t="str">
        <f>Field19_Purpose</f>
        <v>Select</v>
      </c>
      <c r="AV4" s="62" t="e">
        <f>MODE(Table_MealDateDuplicates[MealDates])</f>
        <v>#N/A</v>
      </c>
      <c r="AW4" s="63">
        <f>COUNTIF(Table_MealDateDuplicates[MealDates],$AV$4)</f>
        <v>0</v>
      </c>
      <c r="AX4" s="65"/>
      <c r="AY4" s="358" t="str">
        <f ca="1">CONCATENATE(IF(LEN(AZ7)&gt;0,AZ7&amp;",",""),IF(LEN(AZ8)&gt;0,AZ8&amp;",",""),IF(LEN(AZ9)&gt;0,AZ9&amp;",",""),IF(LEN(AZ10)&gt;0,AZ10&amp;",",""),IF(LEN(AZ11)&gt;0,AZ11&amp;",",""),IF(LEN(AZ12)&gt;0,AZ12&amp;",",""),IF(LEN(AZ13)&gt;0,AZ13&amp;",",""),IF(LEN(AZ14)&gt;0,AZ14&amp;",",""),IF(LEN(AZ15)&gt;0,AZ15&amp;",",""),IF(LEN(AZ16)&gt;0,AZ16&amp;",",""))</f>
        <v/>
      </c>
      <c r="AZ4" s="358"/>
      <c r="BB4" s="32" t="s">
        <v>903</v>
      </c>
    </row>
    <row r="5" spans="1:56" ht="5.25" customHeight="1" x14ac:dyDescent="0.25">
      <c r="C5" s="7"/>
      <c r="D5" s="12"/>
      <c r="E5" s="12"/>
    </row>
    <row r="6" spans="1:56" ht="30" x14ac:dyDescent="0.25">
      <c r="C6" s="8" t="s">
        <v>17</v>
      </c>
      <c r="D6" s="8" t="s">
        <v>21</v>
      </c>
      <c r="E6" s="8" t="s">
        <v>22</v>
      </c>
      <c r="G6" s="6" t="s">
        <v>48</v>
      </c>
      <c r="I6" s="6" t="s">
        <v>52</v>
      </c>
      <c r="K6" s="6" t="s">
        <v>54</v>
      </c>
      <c r="L6" s="6" t="s">
        <v>61</v>
      </c>
      <c r="M6" s="6" t="s">
        <v>62</v>
      </c>
      <c r="O6" s="6" t="s">
        <v>57</v>
      </c>
      <c r="Q6" s="32" t="s">
        <v>352</v>
      </c>
      <c r="R6" s="32" t="s">
        <v>353</v>
      </c>
      <c r="T6" s="66" t="s">
        <v>1247</v>
      </c>
      <c r="U6" s="66" t="s">
        <v>1248</v>
      </c>
      <c r="V6" s="66" t="s">
        <v>1249</v>
      </c>
      <c r="W6" s="66" t="s">
        <v>1255</v>
      </c>
      <c r="Y6" s="6" t="s">
        <v>118</v>
      </c>
      <c r="Z6" s="8" t="s">
        <v>209</v>
      </c>
      <c r="AA6" s="6" t="s">
        <v>1120</v>
      </c>
      <c r="AC6" s="6" t="s">
        <v>333</v>
      </c>
      <c r="AE6" s="6" t="s">
        <v>342</v>
      </c>
      <c r="AF6" s="6" t="s">
        <v>198</v>
      </c>
      <c r="AH6" s="6" t="s">
        <v>73</v>
      </c>
      <c r="AJ6" s="6" t="s">
        <v>39</v>
      </c>
      <c r="AK6" s="6" t="s">
        <v>208</v>
      </c>
      <c r="AL6" s="6"/>
      <c r="AM6" s="6" t="s">
        <v>388</v>
      </c>
      <c r="AN6" s="6" t="s">
        <v>391</v>
      </c>
      <c r="AP6" s="32" t="s">
        <v>392</v>
      </c>
      <c r="AR6" s="29" t="s">
        <v>200</v>
      </c>
      <c r="AS6" s="29" t="s">
        <v>201</v>
      </c>
      <c r="AT6" s="29" t="s">
        <v>202</v>
      </c>
      <c r="AV6" s="6" t="s">
        <v>304</v>
      </c>
      <c r="AW6" s="6" t="s">
        <v>318</v>
      </c>
      <c r="AX6" s="6" t="s">
        <v>308</v>
      </c>
      <c r="AY6" s="6" t="s">
        <v>307</v>
      </c>
      <c r="AZ6" s="6" t="s">
        <v>310</v>
      </c>
      <c r="BB6" t="s">
        <v>901</v>
      </c>
      <c r="BC6" t="s">
        <v>899</v>
      </c>
      <c r="BD6" t="s">
        <v>900</v>
      </c>
    </row>
    <row r="7" spans="1:56" x14ac:dyDescent="0.25">
      <c r="C7" s="6">
        <v>1</v>
      </c>
      <c r="D7" s="5" t="str">
        <f>IF(Field15_TravelStartDate="","",Field15_TravelStartDate+Table_Dates[[#This Row],[Day '#]]-1)</f>
        <v/>
      </c>
      <c r="E7" s="5" t="str">
        <f>IF(AND(Field15_TravelStartDate&lt;=Table_Dates[[#This Row],[Travel End Date Available]],Field16_TravelEndDate&gt;=Table_Dates[[#This Row],[Travel End Date Available]]),Table_Dates[[#This Row],[Travel End Date Available]],"XXXX")</f>
        <v/>
      </c>
      <c r="G7" s="6" t="str">
        <f>Dropdown_NotSelectedValue</f>
        <v>Select</v>
      </c>
      <c r="I7" s="6" t="str">
        <f>Dropdown_NotSelectedValue</f>
        <v>Select</v>
      </c>
      <c r="K7" s="6" t="str">
        <f>Table_PaymentOption[[#This Row],[Top]]&amp;IF(Table_PaymentOption[[#This Row],[Bottom]]&lt;&gt;"",CHAR(10)&amp;Table_PaymentOption[[#This Row],[Bottom]],"")</f>
        <v>Select</v>
      </c>
      <c r="L7" s="6" t="str">
        <f>Dropdown_NotSelectedValue</f>
        <v>Select</v>
      </c>
      <c r="M7" s="6"/>
      <c r="O7" s="6" t="str">
        <f>Dropdown_NotSelectedValue</f>
        <v>Select</v>
      </c>
      <c r="R7" s="32" t="str">
        <f>Dropdown_NotSelectedValue</f>
        <v>Select</v>
      </c>
      <c r="T7" s="66">
        <v>0</v>
      </c>
      <c r="U7" s="66" t="s">
        <v>1250</v>
      </c>
      <c r="V7" s="66" t="b">
        <v>1</v>
      </c>
      <c r="W7" s="66" t="b">
        <f>IF($V$4=TRUE,Table_Postal[[#This Row],[Result]],TRUE)</f>
        <v>1</v>
      </c>
      <c r="Y7" s="6" t="str">
        <f>Dropdown_NotSelectedValue</f>
        <v>Select</v>
      </c>
      <c r="Z7" s="6">
        <f t="shared" ref="Z7:Z12" si="0">DefaultMileageRate</f>
        <v>0.42</v>
      </c>
      <c r="AA7" s="6" t="b">
        <v>0</v>
      </c>
      <c r="AC7" s="6" t="str">
        <f>Dropdown_NotSelectedValue</f>
        <v>Select</v>
      </c>
      <c r="AE7" s="6" t="str">
        <f>Dropdown_NotSelectedValue</f>
        <v>Select</v>
      </c>
      <c r="AF7" s="6" t="b">
        <v>0</v>
      </c>
      <c r="AH7" s="6" t="str">
        <f>Dropdown_NotSelectedValue</f>
        <v>Select</v>
      </c>
      <c r="AJ7" s="6" t="str">
        <f>Dropdown_NotSelectedValue</f>
        <v>Select</v>
      </c>
      <c r="AK7" s="6" t="b">
        <v>1</v>
      </c>
      <c r="AL7" s="6"/>
      <c r="AM7" s="6" t="str">
        <f>Dropdown_NotSelectedValue</f>
        <v>Select</v>
      </c>
      <c r="AN7" s="6" t="b">
        <v>1</v>
      </c>
      <c r="AP7" t="str">
        <f>Dropdown_NotSelectedValue</f>
        <v>Select</v>
      </c>
      <c r="AR7" s="30">
        <v>2.75E-2</v>
      </c>
      <c r="AS7" s="30">
        <v>5.7500000000000002E-2</v>
      </c>
      <c r="AT7" s="30">
        <v>0.13</v>
      </c>
      <c r="AV7" s="61" t="str">
        <f>IF(INDEX(Meal_DatesArray,ROWS($AV$7:AV7),1)=0,"",INDEX(Meal_DatesArray,ROWS($AV$7:AV7)))</f>
        <v/>
      </c>
      <c r="AW7" s="33" t="e">
        <f>Table_MealDateDuplicates[[#This Row],[MealDates]]=$AV$4</f>
        <v>#N/A</v>
      </c>
      <c r="AX7" s="33">
        <v>1</v>
      </c>
      <c r="AY7" s="61" t="e">
        <f ca="1">IF(Table_MealDateDuplicates[[#This Row],[EQUALS MODE]]=TRUE,CELL("address",INDEX(Meal_DatesArray,Table_MealDateDuplicates[[#This Row],[Line]],1)),"")</f>
        <v>#N/A</v>
      </c>
      <c r="AZ7" s="61" t="str">
        <f ca="1">IFERROR(MID(Table_MealDateDuplicates[[#This Row],[INDEX]],FIND("$",Table_MealDateDuplicates[[#This Row],[INDEX]]),LEN(Table_MealDateDuplicates[[#This Row],[INDEX]])-FIND("$",Table_MealDateDuplicates[[#This Row],[INDEX]])+1),"")</f>
        <v/>
      </c>
      <c r="BB7" t="b">
        <f>COUNTIFS(Table_ClaimAllocationFund[ClaimAllocation_Fund],Table_ClaimAllocationFund[[#This Row],[ClaimAllocation_Fund]],Table_ClaimAllocationFund[ISBLANK],FALSE)=COUNTIF(Table_ClaimAllocationFund[ISBLANK],FALSE)</f>
        <v>1</v>
      </c>
      <c r="BC7" t="str">
        <f>LEFT(ClaimAllocation_GL1,2)</f>
        <v/>
      </c>
      <c r="BD7" t="b">
        <f>LEN(Table_ClaimAllocationFund[[#This Row],[ClaimAllocation_Fund]])=0</f>
        <v>1</v>
      </c>
    </row>
    <row r="8" spans="1:56" x14ac:dyDescent="0.25">
      <c r="C8" s="6">
        <v>2</v>
      </c>
      <c r="D8" s="5" t="str">
        <f>IF(Field15_TravelStartDate="","",Field15_TravelStartDate+Table_Dates[[#This Row],[Day '#]]-1)</f>
        <v/>
      </c>
      <c r="E8" s="5" t="str">
        <f>IF(AND(Field15_TravelStartDate&lt;=Table_Dates[[#This Row],[Travel End Date Available]],Field16_TravelEndDate&gt;=Table_Dates[[#This Row],[Travel End Date Available]]),Table_Dates[[#This Row],[Travel End Date Available]],"XXXX")</f>
        <v/>
      </c>
      <c r="G8" s="6" t="s">
        <v>4</v>
      </c>
      <c r="I8" s="6" t="s">
        <v>545</v>
      </c>
      <c r="K8" s="6" t="str">
        <f>Table_PaymentOption[[#This Row],[Top]]&amp;IF(Table_PaymentOption[[#This Row],[Bottom]]&lt;&gt;"",CHAR(10)&amp;Table_PaymentOption[[#This Row],[Bottom]],"")</f>
        <v>Direct Deposit 
(previously submitted)</v>
      </c>
      <c r="L8" s="6" t="s">
        <v>66</v>
      </c>
      <c r="M8" s="6" t="s">
        <v>63</v>
      </c>
      <c r="O8" s="6" t="s">
        <v>59</v>
      </c>
      <c r="Q8" s="32" t="s">
        <v>354</v>
      </c>
      <c r="R8" s="32" t="s">
        <v>355</v>
      </c>
      <c r="T8" s="66">
        <v>1</v>
      </c>
      <c r="U8" s="66" t="s">
        <v>1252</v>
      </c>
      <c r="V8" s="66" t="b">
        <f>ISERR(VALUE(MID(Field06B_PostalCode,Table_Postal[[#This Row],[Check '#]],1)))</f>
        <v>1</v>
      </c>
      <c r="W8" s="66" t="b">
        <f>IF($V$4=TRUE,Table_Postal[[#This Row],[Result]],TRUE)</f>
        <v>1</v>
      </c>
      <c r="Y8" s="6" t="s">
        <v>339</v>
      </c>
      <c r="Z8" s="6">
        <f t="shared" si="0"/>
        <v>0.42</v>
      </c>
      <c r="AA8" s="6" t="b">
        <v>1</v>
      </c>
      <c r="AC8" s="6" t="s">
        <v>328</v>
      </c>
      <c r="AE8" s="6" t="s">
        <v>121</v>
      </c>
      <c r="AF8" s="6" t="b">
        <v>1</v>
      </c>
      <c r="AH8" s="6" t="s">
        <v>75</v>
      </c>
      <c r="AJ8" s="6" t="s">
        <v>240</v>
      </c>
      <c r="AK8" s="6" t="b">
        <v>0</v>
      </c>
      <c r="AL8" s="6"/>
      <c r="AM8" s="6" t="s">
        <v>44</v>
      </c>
      <c r="AN8" s="6" t="b">
        <v>1</v>
      </c>
      <c r="AP8" t="s">
        <v>395</v>
      </c>
      <c r="AV8" s="61" t="str">
        <f>IF(INDEX(Meal_DatesArray,ROWS($AV$7:AV8),1)=0,"",INDEX(Meal_DatesArray,ROWS($AV$7:AV8)))</f>
        <v/>
      </c>
      <c r="AW8" s="33" t="e">
        <f>Table_MealDateDuplicates[[#This Row],[MealDates]]=$AV$4</f>
        <v>#N/A</v>
      </c>
      <c r="AX8" s="33">
        <v>2</v>
      </c>
      <c r="AY8" s="61" t="e">
        <f ca="1">IF(Table_MealDateDuplicates[[#This Row],[EQUALS MODE]]=TRUE,CELL("address",INDEX(Meal_DatesArray,Table_MealDateDuplicates[[#This Row],[Line]],1)),"")</f>
        <v>#N/A</v>
      </c>
      <c r="AZ8" s="61" t="str">
        <f ca="1">IFERROR(MID(Table_MealDateDuplicates[[#This Row],[INDEX]],FIND("$",Table_MealDateDuplicates[[#This Row],[INDEX]]),LEN(Table_MealDateDuplicates[[#This Row],[INDEX]])-FIND("$",Table_MealDateDuplicates[[#This Row],[INDEX]])+1),"")</f>
        <v/>
      </c>
      <c r="BB8" t="b">
        <f>COUNTIFS(Table_ClaimAllocationFund[ClaimAllocation_Fund],Table_ClaimAllocationFund[[#This Row],[ClaimAllocation_Fund]],Table_ClaimAllocationFund[ISBLANK],FALSE)=COUNTIF(Table_ClaimAllocationFund[ISBLANK],FALSE)</f>
        <v>1</v>
      </c>
      <c r="BC8" t="str">
        <f>LEFT(ClaimAllocation_GL2,2)</f>
        <v/>
      </c>
      <c r="BD8" t="b">
        <f>LEN(Table_ClaimAllocationFund[[#This Row],[ClaimAllocation_Fund]])=0</f>
        <v>1</v>
      </c>
    </row>
    <row r="9" spans="1:56" x14ac:dyDescent="0.25">
      <c r="C9" s="6">
        <v>3</v>
      </c>
      <c r="D9" s="5" t="str">
        <f>IF(Field15_TravelStartDate="","",Field15_TravelStartDate+Table_Dates[[#This Row],[Day '#]]-1)</f>
        <v/>
      </c>
      <c r="E9" s="5" t="str">
        <f>IF(AND(Field15_TravelStartDate&lt;=Table_Dates[[#This Row],[Travel End Date Available]],Field16_TravelEndDate&gt;=Table_Dates[[#This Row],[Travel End Date Available]]),Table_Dates[[#This Row],[Travel End Date Available]],"XXXX")</f>
        <v/>
      </c>
      <c r="G9" s="6" t="s">
        <v>3</v>
      </c>
      <c r="I9" s="6" t="s">
        <v>546</v>
      </c>
      <c r="K9" s="6" t="str">
        <f>Table_PaymentOption[[#This Row],[Top]]&amp;IF(Table_PaymentOption[[#This Row],[Bottom]]&lt;&gt;"",CHAR(10)&amp;Table_PaymentOption[[#This Row],[Bottom]],"")</f>
        <v>Direct Deposit 
(documentation attached)</v>
      </c>
      <c r="L9" s="6" t="s">
        <v>66</v>
      </c>
      <c r="M9" s="6" t="s">
        <v>886</v>
      </c>
      <c r="O9" s="6" t="s">
        <v>60</v>
      </c>
      <c r="Q9" s="32" t="s">
        <v>356</v>
      </c>
      <c r="R9" s="32" t="s">
        <v>357</v>
      </c>
      <c r="T9" s="66">
        <v>2</v>
      </c>
      <c r="U9" s="66" t="s">
        <v>1253</v>
      </c>
      <c r="V9" s="66" t="b">
        <f>ISERR(VALUE(MID(Field06B_PostalCode,Table_Postal[[#This Row],[Check '#]],1)))=FALSE</f>
        <v>0</v>
      </c>
      <c r="W9" s="66" t="b">
        <f>IF($V$4=TRUE,Table_Postal[[#This Row],[Result]],TRUE)</f>
        <v>0</v>
      </c>
      <c r="Y9" s="6" t="s">
        <v>340</v>
      </c>
      <c r="Z9" s="6">
        <f t="shared" si="0"/>
        <v>0.42</v>
      </c>
      <c r="AA9" s="6" t="b">
        <v>0</v>
      </c>
      <c r="AC9" s="6" t="s">
        <v>334</v>
      </c>
      <c r="AE9" s="6" t="s">
        <v>199</v>
      </c>
      <c r="AF9" s="6" t="b">
        <v>0</v>
      </c>
      <c r="AH9" s="6" t="s">
        <v>74</v>
      </c>
      <c r="AJ9" s="6" t="s">
        <v>241</v>
      </c>
      <c r="AK9" s="6" t="b">
        <v>0</v>
      </c>
      <c r="AL9" s="6"/>
      <c r="AM9" s="6" t="s">
        <v>38</v>
      </c>
      <c r="AN9" s="6" t="b">
        <v>0</v>
      </c>
      <c r="AP9" t="s">
        <v>396</v>
      </c>
      <c r="AV9" s="61" t="str">
        <f>IF(INDEX(Meal_DatesArray,ROWS($AV$7:AV9),1)=0,"",INDEX(Meal_DatesArray,ROWS($AV$7:AV9)))</f>
        <v/>
      </c>
      <c r="AW9" s="33" t="e">
        <f>Table_MealDateDuplicates[[#This Row],[MealDates]]=$AV$4</f>
        <v>#N/A</v>
      </c>
      <c r="AX9" s="33">
        <v>3</v>
      </c>
      <c r="AY9" s="61" t="e">
        <f ca="1">IF(Table_MealDateDuplicates[[#This Row],[EQUALS MODE]]=TRUE,CELL("address",INDEX(Meal_DatesArray,Table_MealDateDuplicates[[#This Row],[Line]],1)),"")</f>
        <v>#N/A</v>
      </c>
      <c r="AZ9" s="61" t="str">
        <f ca="1">IFERROR(MID(Table_MealDateDuplicates[[#This Row],[INDEX]],FIND("$",Table_MealDateDuplicates[[#This Row],[INDEX]]),LEN(Table_MealDateDuplicates[[#This Row],[INDEX]])-FIND("$",Table_MealDateDuplicates[[#This Row],[INDEX]])+1),"")</f>
        <v/>
      </c>
      <c r="BB9" t="b">
        <f>COUNTIFS(Table_ClaimAllocationFund[ClaimAllocation_Fund],Table_ClaimAllocationFund[[#This Row],[ClaimAllocation_Fund]],Table_ClaimAllocationFund[ISBLANK],FALSE)=COUNTIF(Table_ClaimAllocationFund[ISBLANK],FALSE)</f>
        <v>1</v>
      </c>
      <c r="BC9" t="str">
        <f>LEFT(ClaimAllocation_GL3,2)</f>
        <v/>
      </c>
      <c r="BD9" t="b">
        <f>LEN(Table_ClaimAllocationFund[[#This Row],[ClaimAllocation_Fund]])=0</f>
        <v>1</v>
      </c>
    </row>
    <row r="10" spans="1:56" x14ac:dyDescent="0.25">
      <c r="C10" s="6">
        <v>4</v>
      </c>
      <c r="D10" s="5" t="str">
        <f>IF(Field15_TravelStartDate="","",Field15_TravelStartDate+Table_Dates[[#This Row],[Day '#]]-1)</f>
        <v/>
      </c>
      <c r="E10" s="5" t="str">
        <f>IF(AND(Field15_TravelStartDate&lt;=Table_Dates[[#This Row],[Travel End Date Available]],Field16_TravelEndDate&gt;=Table_Dates[[#This Row],[Travel End Date Available]]),Table_Dates[[#This Row],[Travel End Date Available]],"XXXX")</f>
        <v/>
      </c>
      <c r="G10" s="6"/>
      <c r="I10" s="6" t="s">
        <v>930</v>
      </c>
      <c r="K10" s="6" t="str">
        <f>Table_PaymentOption[[#This Row],[Top]]&amp;IF(Table_PaymentOption[[#This Row],[Bottom]]&lt;&gt;"",CHAR(10)&amp;Table_PaymentOption[[#This Row],[Bottom]],"")</f>
        <v>Mail Cheque 
(address specified)</v>
      </c>
      <c r="L10" s="6" t="s">
        <v>67</v>
      </c>
      <c r="M10" s="6" t="s">
        <v>65</v>
      </c>
      <c r="O10" s="6" t="s">
        <v>331</v>
      </c>
      <c r="Q10" s="32" t="s">
        <v>358</v>
      </c>
      <c r="R10" s="32" t="s">
        <v>359</v>
      </c>
      <c r="T10" s="66">
        <v>3</v>
      </c>
      <c r="U10" s="66" t="s">
        <v>1252</v>
      </c>
      <c r="V10" s="66" t="b">
        <f>ISERR(VALUE(MID(Field06B_PostalCode,Table_Postal[[#This Row],[Check '#]],1)))</f>
        <v>1</v>
      </c>
      <c r="W10" s="66" t="b">
        <f>IF($V$4=TRUE,Table_Postal[[#This Row],[Result]],TRUE)</f>
        <v>1</v>
      </c>
      <c r="Y10" s="6" t="s">
        <v>883</v>
      </c>
      <c r="Z10" s="6">
        <f t="shared" si="0"/>
        <v>0.42</v>
      </c>
      <c r="AA10" s="6" t="b">
        <v>0</v>
      </c>
      <c r="AC10" s="6" t="s">
        <v>335</v>
      </c>
      <c r="AE10" s="6" t="s">
        <v>122</v>
      </c>
      <c r="AF10" s="6" t="b">
        <v>0</v>
      </c>
      <c r="AJ10" s="6" t="s">
        <v>242</v>
      </c>
      <c r="AK10" s="6" t="b">
        <v>1</v>
      </c>
      <c r="AL10" s="6"/>
      <c r="AM10" s="6"/>
      <c r="AV10" s="61" t="str">
        <f>IF(INDEX(Meal_DatesArray,ROWS($AV$7:AV10),1)=0,"",INDEX(Meal_DatesArray,ROWS($AV$7:AV10)))</f>
        <v/>
      </c>
      <c r="AW10" s="33" t="e">
        <f>Table_MealDateDuplicates[[#This Row],[MealDates]]=$AV$4</f>
        <v>#N/A</v>
      </c>
      <c r="AX10" s="33">
        <v>4</v>
      </c>
      <c r="AY10" s="61" t="e">
        <f ca="1">IF(Table_MealDateDuplicates[[#This Row],[EQUALS MODE]]=TRUE,CELL("address",INDEX(Meal_DatesArray,Table_MealDateDuplicates[[#This Row],[Line]],1)),"")</f>
        <v>#N/A</v>
      </c>
      <c r="AZ10" s="61" t="str">
        <f ca="1">IFERROR(MID(Table_MealDateDuplicates[[#This Row],[INDEX]],FIND("$",Table_MealDateDuplicates[[#This Row],[INDEX]]),LEN(Table_MealDateDuplicates[[#This Row],[INDEX]])-FIND("$",Table_MealDateDuplicates[[#This Row],[INDEX]])+1),"")</f>
        <v/>
      </c>
      <c r="BB10" t="b">
        <f>COUNTIFS(Table_ClaimAllocationFund[ClaimAllocation_Fund],Table_ClaimAllocationFund[[#This Row],[ClaimAllocation_Fund]],Table_ClaimAllocationFund[ISBLANK],FALSE)=COUNTIF(Table_ClaimAllocationFund[ISBLANK],FALSE)</f>
        <v>1</v>
      </c>
      <c r="BC10" t="str">
        <f>LEFT(ClaimAllocation_GL4,2)</f>
        <v/>
      </c>
      <c r="BD10" t="b">
        <f>LEN(Table_ClaimAllocationFund[[#This Row],[ClaimAllocation_Fund]])=0</f>
        <v>1</v>
      </c>
    </row>
    <row r="11" spans="1:56" x14ac:dyDescent="0.25">
      <c r="C11" s="6">
        <v>5</v>
      </c>
      <c r="D11" s="5" t="str">
        <f>IF(Field15_TravelStartDate="","",Field15_TravelStartDate+Table_Dates[[#This Row],[Day '#]]-1)</f>
        <v/>
      </c>
      <c r="E11" s="5" t="str">
        <f>IF(AND(Field15_TravelStartDate&lt;=Table_Dates[[#This Row],[Travel End Date Available]],Field16_TravelEndDate&gt;=Table_Dates[[#This Row],[Travel End Date Available]]),Table_Dates[[#This Row],[Travel End Date Available]],"XXXX")</f>
        <v/>
      </c>
      <c r="I11" s="6"/>
      <c r="K11" s="6" t="str">
        <f>Table_PaymentOption[[#This Row],[Top]]&amp;IF(Table_PaymentOption[[#This Row],[Bottom]]&lt;&gt;"",CHAR(10)&amp;Table_PaymentOption[[#This Row],[Bottom]],"")</f>
        <v>Pick Up Cheque 
(NOSM at Laurentian, Finance Unit)</v>
      </c>
      <c r="L11" s="6" t="s">
        <v>887</v>
      </c>
      <c r="M11" s="6" t="s">
        <v>888</v>
      </c>
      <c r="O11" s="6"/>
      <c r="Q11" s="32" t="s">
        <v>360</v>
      </c>
      <c r="R11" s="32" t="s">
        <v>361</v>
      </c>
      <c r="T11" s="66">
        <v>4</v>
      </c>
      <c r="U11" s="66" t="s">
        <v>1254</v>
      </c>
      <c r="V11" s="66" t="b">
        <f>MID(Field06B_PostalCode,Table_Postal[[#This Row],[Check '#]],1)=" "</f>
        <v>0</v>
      </c>
      <c r="W11" s="66" t="b">
        <f>IF($V$4=TRUE,Table_Postal[[#This Row],[Result]],TRUE)</f>
        <v>0</v>
      </c>
      <c r="Y11" s="6" t="s">
        <v>884</v>
      </c>
      <c r="Z11" s="6">
        <v>0.155</v>
      </c>
      <c r="AA11" s="6" t="b">
        <v>0</v>
      </c>
      <c r="AC11" s="6" t="s">
        <v>1137</v>
      </c>
      <c r="AM11" s="32" t="s">
        <v>483</v>
      </c>
      <c r="AV11" s="61" t="str">
        <f>IF(INDEX(Meal_DatesArray,ROWS($AV$7:AV11),1)=0,"",INDEX(Meal_DatesArray,ROWS($AV$7:AV11)))</f>
        <v/>
      </c>
      <c r="AW11" s="33" t="e">
        <f>Table_MealDateDuplicates[[#This Row],[MealDates]]=$AV$4</f>
        <v>#N/A</v>
      </c>
      <c r="AX11" s="33">
        <v>5</v>
      </c>
      <c r="AY11" s="61" t="e">
        <f ca="1">IF(Table_MealDateDuplicates[[#This Row],[EQUALS MODE]]=TRUE,CELL("address",INDEX(Meal_DatesArray,Table_MealDateDuplicates[[#This Row],[Line]],1)),"")</f>
        <v>#N/A</v>
      </c>
      <c r="AZ11" s="61" t="str">
        <f ca="1">IFERROR(MID(Table_MealDateDuplicates[[#This Row],[INDEX]],FIND("$",Table_MealDateDuplicates[[#This Row],[INDEX]]),LEN(Table_MealDateDuplicates[[#This Row],[INDEX]])-FIND("$",Table_MealDateDuplicates[[#This Row],[INDEX]])+1),"")</f>
        <v/>
      </c>
    </row>
    <row r="12" spans="1:56" x14ac:dyDescent="0.25">
      <c r="C12" s="6">
        <v>6</v>
      </c>
      <c r="D12" s="5" t="str">
        <f>IF(Field15_TravelStartDate="","",Field15_TravelStartDate+Table_Dates[[#This Row],[Day '#]]-1)</f>
        <v/>
      </c>
      <c r="E12" s="5" t="str">
        <f>IF(AND(Field15_TravelStartDate&lt;=Table_Dates[[#This Row],[Travel End Date Available]],Field16_TravelEndDate&gt;=Table_Dates[[#This Row],[Travel End Date Available]]),Table_Dates[[#This Row],[Travel End Date Available]],"XXXX")</f>
        <v/>
      </c>
      <c r="I12" s="6" t="s">
        <v>1118</v>
      </c>
      <c r="K12" s="6" t="str">
        <f>Table_PaymentOption[[#This Row],[Top]]&amp;IF(Table_PaymentOption[[#This Row],[Bottom]]&lt;&gt;"",CHAR(10)&amp;Table_PaymentOption[[#This Row],[Bottom]],"")</f>
        <v>Pick Up Cheque 
(NOSM at Lakehead, Finance Unit)</v>
      </c>
      <c r="L12" s="6" t="s">
        <v>887</v>
      </c>
      <c r="M12" s="6" t="s">
        <v>889</v>
      </c>
      <c r="O12" s="6"/>
      <c r="Q12" s="32" t="s">
        <v>362</v>
      </c>
      <c r="R12" s="32" t="s">
        <v>363</v>
      </c>
      <c r="T12" s="66">
        <v>5</v>
      </c>
      <c r="U12" s="66" t="s">
        <v>1253</v>
      </c>
      <c r="V12" s="66" t="b">
        <f>ISERR(VALUE(MID(Field06B_PostalCode,Table_Postal[[#This Row],[Check '#]],1)))=FALSE</f>
        <v>0</v>
      </c>
      <c r="W12" s="66" t="b">
        <f>IF($V$4=TRUE,Table_Postal[[#This Row],[Result]],TRUE)</f>
        <v>0</v>
      </c>
      <c r="Y12" s="6" t="s">
        <v>885</v>
      </c>
      <c r="Z12" s="6">
        <f t="shared" si="0"/>
        <v>0.42</v>
      </c>
      <c r="AA12" s="6" t="b">
        <v>0</v>
      </c>
      <c r="AC12" s="6" t="s">
        <v>338</v>
      </c>
      <c r="AM12" s="32" t="s">
        <v>484</v>
      </c>
      <c r="AP12"/>
      <c r="AV12" s="61" t="str">
        <f>IF(INDEX(Meal_DatesArray,ROWS($AV$7:AV12),1)=0,"",INDEX(Meal_DatesArray,ROWS($AV$7:AV12)))</f>
        <v/>
      </c>
      <c r="AW12" s="33" t="e">
        <f>Table_MealDateDuplicates[[#This Row],[MealDates]]=$AV$4</f>
        <v>#N/A</v>
      </c>
      <c r="AX12" s="33">
        <v>6</v>
      </c>
      <c r="AY12" s="61" t="e">
        <f ca="1">IF(Table_MealDateDuplicates[[#This Row],[EQUALS MODE]]=TRUE,CELL("address",INDEX(Meal_DatesArray,Table_MealDateDuplicates[[#This Row],[Line]],1)),"")</f>
        <v>#N/A</v>
      </c>
      <c r="AZ12" s="61" t="str">
        <f ca="1">IFERROR(MID(Table_MealDateDuplicates[[#This Row],[INDEX]],FIND("$",Table_MealDateDuplicates[[#This Row],[INDEX]]),LEN(Table_MealDateDuplicates[[#This Row],[INDEX]])-FIND("$",Table_MealDateDuplicates[[#This Row],[INDEX]])+1),"")</f>
        <v/>
      </c>
    </row>
    <row r="13" spans="1:56" x14ac:dyDescent="0.25">
      <c r="C13" s="6">
        <v>7</v>
      </c>
      <c r="D13" s="5" t="str">
        <f>IF(Field15_TravelStartDate="","",Field15_TravelStartDate+Table_Dates[[#This Row],[Day '#]]-1)</f>
        <v/>
      </c>
      <c r="E13" s="5" t="str">
        <f>IF(AND(Field15_TravelStartDate&lt;=Table_Dates[[#This Row],[Travel End Date Available]],Field16_TravelEndDate&gt;=Table_Dates[[#This Row],[Travel End Date Available]]),Table_Dates[[#This Row],[Travel End Date Available]],"XXXX")</f>
        <v/>
      </c>
      <c r="I13" t="s">
        <v>1119</v>
      </c>
      <c r="O13" s="6"/>
      <c r="Q13" s="32" t="s">
        <v>364</v>
      </c>
      <c r="R13" s="32" t="s">
        <v>365</v>
      </c>
      <c r="T13" s="66">
        <v>6</v>
      </c>
      <c r="U13" s="66" t="s">
        <v>1252</v>
      </c>
      <c r="V13" s="66" t="b">
        <f>ISERR(VALUE(MID(Field06B_PostalCode,Table_Postal[[#This Row],[Check '#]],1)))</f>
        <v>1</v>
      </c>
      <c r="W13" s="66" t="b">
        <f>IF($V$4=TRUE,Table_Postal[[#This Row],[Result]],TRUE)</f>
        <v>1</v>
      </c>
      <c r="Y13" s="6"/>
      <c r="Z13" s="6"/>
      <c r="AC13" s="6" t="s">
        <v>336</v>
      </c>
      <c r="AE13" s="32"/>
      <c r="AM13" s="32" t="s">
        <v>485</v>
      </c>
      <c r="AV13" s="61" t="str">
        <f>IF(INDEX(Meal_DatesArray,ROWS($AV$7:AV13),1)=0,"",INDEX(Meal_DatesArray,ROWS($AV$7:AV13)))</f>
        <v/>
      </c>
      <c r="AW13" s="33" t="e">
        <f>Table_MealDateDuplicates[[#This Row],[MealDates]]=$AV$4</f>
        <v>#N/A</v>
      </c>
      <c r="AX13" s="33">
        <v>7</v>
      </c>
      <c r="AY13" s="61" t="e">
        <f ca="1">IF(Table_MealDateDuplicates[[#This Row],[EQUALS MODE]]=TRUE,CELL("address",INDEX(Meal_DatesArray,Table_MealDateDuplicates[[#This Row],[Line]],1)),"")</f>
        <v>#N/A</v>
      </c>
      <c r="AZ13" s="61" t="str">
        <f ca="1">IFERROR(MID(Table_MealDateDuplicates[[#This Row],[INDEX]],FIND("$",Table_MealDateDuplicates[[#This Row],[INDEX]]),LEN(Table_MealDateDuplicates[[#This Row],[INDEX]])-FIND("$",Table_MealDateDuplicates[[#This Row],[INDEX]])+1),"")</f>
        <v/>
      </c>
    </row>
    <row r="14" spans="1:56" x14ac:dyDescent="0.25">
      <c r="C14" s="6">
        <v>8</v>
      </c>
      <c r="D14" s="5" t="str">
        <f>IF(Field15_TravelStartDate="","",Field15_TravelStartDate+Table_Dates[[#This Row],[Day '#]]-1)</f>
        <v/>
      </c>
      <c r="E14" s="5" t="str">
        <f>IF(AND(Field15_TravelStartDate&lt;=Table_Dates[[#This Row],[Travel End Date Available]],Field16_TravelEndDate&gt;=Table_Dates[[#This Row],[Travel End Date Available]]),Table_Dates[[#This Row],[Travel End Date Available]],"XXXX")</f>
        <v/>
      </c>
      <c r="Q14" s="32" t="s">
        <v>366</v>
      </c>
      <c r="R14" s="32" t="s">
        <v>367</v>
      </c>
      <c r="T14" s="66">
        <v>7</v>
      </c>
      <c r="U14" s="66" t="s">
        <v>1253</v>
      </c>
      <c r="V14" s="66" t="b">
        <f>ISERR(VALUE(MID(Field06B_PostalCode,Table_Postal[[#This Row],[Check '#]],1)))=FALSE</f>
        <v>0</v>
      </c>
      <c r="W14" s="66" t="b">
        <f>IF($V$4=TRUE,Table_Postal[[#This Row],[Result]],TRUE)</f>
        <v>0</v>
      </c>
      <c r="Y14" s="66"/>
      <c r="Z14" s="6"/>
      <c r="AC14" s="6" t="s">
        <v>138</v>
      </c>
      <c r="AE14" s="32"/>
      <c r="AM14" s="32" t="s">
        <v>486</v>
      </c>
      <c r="AV14" s="61" t="str">
        <f>IF(INDEX(Meal_DatesArray,ROWS($AV$7:AV14),1)=0,"",INDEX(Meal_DatesArray,ROWS($AV$7:AV14)))</f>
        <v/>
      </c>
      <c r="AW14" s="33" t="e">
        <f>Table_MealDateDuplicates[[#This Row],[MealDates]]=$AV$4</f>
        <v>#N/A</v>
      </c>
      <c r="AX14" s="33">
        <v>8</v>
      </c>
      <c r="AY14" s="61" t="e">
        <f ca="1">IF(Table_MealDateDuplicates[[#This Row],[EQUALS MODE]]=TRUE,CELL("address",INDEX(Meal_DatesArray,Table_MealDateDuplicates[[#This Row],[Line]],1)),"")</f>
        <v>#N/A</v>
      </c>
      <c r="AZ14" s="61" t="str">
        <f ca="1">IFERROR(MID(Table_MealDateDuplicates[[#This Row],[INDEX]],FIND("$",Table_MealDateDuplicates[[#This Row],[INDEX]]),LEN(Table_MealDateDuplicates[[#This Row],[INDEX]])-FIND("$",Table_MealDateDuplicates[[#This Row],[INDEX]])+1),"")</f>
        <v/>
      </c>
    </row>
    <row r="15" spans="1:56" x14ac:dyDescent="0.25">
      <c r="C15" s="6">
        <v>9</v>
      </c>
      <c r="D15" s="5" t="str">
        <f>IF(Field15_TravelStartDate="","",Field15_TravelStartDate+Table_Dates[[#This Row],[Day '#]]-1)</f>
        <v/>
      </c>
      <c r="E15" s="5" t="str">
        <f>IF(AND(Field15_TravelStartDate&lt;=Table_Dates[[#This Row],[Travel End Date Available]],Field16_TravelEndDate&gt;=Table_Dates[[#This Row],[Travel End Date Available]]),Table_Dates[[#This Row],[Travel End Date Available]],"XXXX")</f>
        <v/>
      </c>
      <c r="Q15" s="32" t="s">
        <v>368</v>
      </c>
      <c r="R15" s="32" t="s">
        <v>369</v>
      </c>
      <c r="AC15" s="6" t="s">
        <v>337</v>
      </c>
      <c r="AV15" s="61" t="str">
        <f>IF(INDEX(Meal_DatesArray,ROWS($AV$7:AV15),1)=0,"",INDEX(Meal_DatesArray,ROWS($AV$7:AV15)))</f>
        <v/>
      </c>
      <c r="AW15" s="33" t="e">
        <f>Table_MealDateDuplicates[[#This Row],[MealDates]]=$AV$4</f>
        <v>#N/A</v>
      </c>
      <c r="AX15" s="33">
        <v>9</v>
      </c>
      <c r="AY15" s="61" t="e">
        <f ca="1">IF(Table_MealDateDuplicates[[#This Row],[EQUALS MODE]]=TRUE,CELL("address",INDEX(Meal_DatesArray,Table_MealDateDuplicates[[#This Row],[Line]],1)),"")</f>
        <v>#N/A</v>
      </c>
      <c r="AZ15" s="61" t="str">
        <f ca="1">IFERROR(MID(Table_MealDateDuplicates[[#This Row],[INDEX]],FIND("$",Table_MealDateDuplicates[[#This Row],[INDEX]]),LEN(Table_MealDateDuplicates[[#This Row],[INDEX]])-FIND("$",Table_MealDateDuplicates[[#This Row],[INDEX]])+1),"")</f>
        <v/>
      </c>
    </row>
    <row r="16" spans="1:56" x14ac:dyDescent="0.25">
      <c r="C16" s="6">
        <v>10</v>
      </c>
      <c r="D16" s="5" t="str">
        <f>IF(Field15_TravelStartDate="","",Field15_TravelStartDate+Table_Dates[[#This Row],[Day '#]]-1)</f>
        <v/>
      </c>
      <c r="E16" s="5" t="str">
        <f>IF(AND(Field15_TravelStartDate&lt;=Table_Dates[[#This Row],[Travel End Date Available]],Field16_TravelEndDate&gt;=Table_Dates[[#This Row],[Travel End Date Available]]),Table_Dates[[#This Row],[Travel End Date Available]],"XXXX")</f>
        <v/>
      </c>
      <c r="Q16" s="32" t="s">
        <v>370</v>
      </c>
      <c r="R16" s="32" t="s">
        <v>371</v>
      </c>
      <c r="V16" s="148" t="s">
        <v>1256</v>
      </c>
      <c r="W16" s="50" t="b">
        <f>SUMPRODUCT(--Table_Postal[Result (if needed)])=8</f>
        <v>0</v>
      </c>
      <c r="AV16" s="61" t="str">
        <f>IF(INDEX(Meal_DatesArray,ROWS($AV$7:AV16),1)=0,"",INDEX(Meal_DatesArray,ROWS($AV$7:AV16)))</f>
        <v/>
      </c>
      <c r="AW16" s="33" t="e">
        <f>Table_MealDateDuplicates[[#This Row],[MealDates]]=$AV$4</f>
        <v>#N/A</v>
      </c>
      <c r="AX16" s="33">
        <v>10</v>
      </c>
      <c r="AY16" s="61" t="e">
        <f ca="1">IF(Table_MealDateDuplicates[[#This Row],[EQUALS MODE]]=TRUE,CELL("address",INDEX(Meal_DatesArray,Table_MealDateDuplicates[[#This Row],[Line]],1)),"")</f>
        <v>#N/A</v>
      </c>
      <c r="AZ16" s="61" t="str">
        <f ca="1">IFERROR(MID(Table_MealDateDuplicates[[#This Row],[INDEX]],FIND("$",Table_MealDateDuplicates[[#This Row],[INDEX]]),LEN(Table_MealDateDuplicates[[#This Row],[INDEX]])-FIND("$",Table_MealDateDuplicates[[#This Row],[INDEX]])+1),"")</f>
        <v/>
      </c>
    </row>
    <row r="17" spans="3:51" x14ac:dyDescent="0.25">
      <c r="C17" s="6">
        <v>11</v>
      </c>
      <c r="D17" s="5" t="str">
        <f>IF(Field15_TravelStartDate="","",Field15_TravelStartDate+Table_Dates[[#This Row],[Day '#]]-1)</f>
        <v/>
      </c>
      <c r="E17" s="5" t="str">
        <f>IF(AND(Field15_TravelStartDate&lt;=Table_Dates[[#This Row],[Travel End Date Available]],Field16_TravelEndDate&gt;=Table_Dates[[#This Row],[Travel End Date Available]]),Table_Dates[[#This Row],[Travel End Date Available]],"XXXX")</f>
        <v/>
      </c>
      <c r="Q17" s="32" t="s">
        <v>372</v>
      </c>
      <c r="R17" s="32" t="s">
        <v>373</v>
      </c>
      <c r="AV17" s="61"/>
    </row>
    <row r="18" spans="3:51" x14ac:dyDescent="0.25">
      <c r="C18" s="6">
        <v>12</v>
      </c>
      <c r="D18" s="5" t="str">
        <f>IF(Field15_TravelStartDate="","",Field15_TravelStartDate+Table_Dates[[#This Row],[Day '#]]-1)</f>
        <v/>
      </c>
      <c r="E18" s="5" t="str">
        <f>IF(AND(Field15_TravelStartDate&lt;=Table_Dates[[#This Row],[Travel End Date Available]],Field16_TravelEndDate&gt;=Table_Dates[[#This Row],[Travel End Date Available]]),Table_Dates[[#This Row],[Travel End Date Available]],"XXXX")</f>
        <v/>
      </c>
      <c r="Q18" s="32" t="s">
        <v>374</v>
      </c>
      <c r="R18" s="32" t="s">
        <v>375</v>
      </c>
      <c r="AV18" s="61"/>
      <c r="AY18" s="11"/>
    </row>
    <row r="19" spans="3:51" x14ac:dyDescent="0.25">
      <c r="C19" s="6">
        <v>13</v>
      </c>
      <c r="D19" s="5" t="str">
        <f>IF(Field15_TravelStartDate="","",Field15_TravelStartDate+Table_Dates[[#This Row],[Day '#]]-1)</f>
        <v/>
      </c>
      <c r="E19" s="5" t="str">
        <f>IF(AND(Field15_TravelStartDate&lt;=Table_Dates[[#This Row],[Travel End Date Available]],Field16_TravelEndDate&gt;=Table_Dates[[#This Row],[Travel End Date Available]]),Table_Dates[[#This Row],[Travel End Date Available]],"XXXX")</f>
        <v/>
      </c>
      <c r="Q19" s="32" t="s">
        <v>376</v>
      </c>
      <c r="R19" s="32" t="s">
        <v>377</v>
      </c>
      <c r="AV19" s="61"/>
    </row>
    <row r="20" spans="3:51" x14ac:dyDescent="0.25">
      <c r="C20" s="6">
        <v>14</v>
      </c>
      <c r="D20" s="5" t="str">
        <f>IF(Field15_TravelStartDate="","",Field15_TravelStartDate+Table_Dates[[#This Row],[Day '#]]-1)</f>
        <v/>
      </c>
      <c r="E20" s="5" t="str">
        <f>IF(AND(Field15_TravelStartDate&lt;=Table_Dates[[#This Row],[Travel End Date Available]],Field16_TravelEndDate&gt;=Table_Dates[[#This Row],[Travel End Date Available]]),Table_Dates[[#This Row],[Travel End Date Available]],"XXXX")</f>
        <v/>
      </c>
      <c r="Q20" s="32" t="s">
        <v>378</v>
      </c>
      <c r="R20" s="32" t="s">
        <v>379</v>
      </c>
    </row>
    <row r="21" spans="3:51" x14ac:dyDescent="0.25">
      <c r="C21" s="6">
        <v>15</v>
      </c>
      <c r="D21" s="5" t="str">
        <f>IF(Field15_TravelStartDate="","",Field15_TravelStartDate+Table_Dates[[#This Row],[Day '#]]-1)</f>
        <v/>
      </c>
      <c r="E21" s="5" t="str">
        <f>IF(AND(Field15_TravelStartDate&lt;=Table_Dates[[#This Row],[Travel End Date Available]],Field16_TravelEndDate&gt;=Table_Dates[[#This Row],[Travel End Date Available]]),Table_Dates[[#This Row],[Travel End Date Available]],"XXXX")</f>
        <v/>
      </c>
      <c r="Q21" s="32" t="s">
        <v>1090</v>
      </c>
      <c r="R21" s="32" t="s">
        <v>1089</v>
      </c>
    </row>
    <row r="22" spans="3:51" x14ac:dyDescent="0.25">
      <c r="C22" s="6">
        <v>16</v>
      </c>
      <c r="D22" s="5" t="str">
        <f>IF(Field15_TravelStartDate="","",Field15_TravelStartDate+Table_Dates[[#This Row],[Day '#]]-1)</f>
        <v/>
      </c>
      <c r="E22" s="5" t="str">
        <f>IF(AND(Field15_TravelStartDate&lt;=Table_Dates[[#This Row],[Travel End Date Available]],Field16_TravelEndDate&gt;=Table_Dates[[#This Row],[Travel End Date Available]]),Table_Dates[[#This Row],[Travel End Date Available]],"XXXX")</f>
        <v/>
      </c>
    </row>
    <row r="23" spans="3:51" x14ac:dyDescent="0.25">
      <c r="C23" s="6">
        <v>17</v>
      </c>
      <c r="D23" s="5" t="str">
        <f>IF(Field15_TravelStartDate="","",Field15_TravelStartDate+Table_Dates[[#This Row],[Day '#]]-1)</f>
        <v/>
      </c>
      <c r="E23" s="5" t="str">
        <f>IF(AND(Field15_TravelStartDate&lt;=Table_Dates[[#This Row],[Travel End Date Available]],Field16_TravelEndDate&gt;=Table_Dates[[#This Row],[Travel End Date Available]]),Table_Dates[[#This Row],[Travel End Date Available]],"XXXX")</f>
        <v/>
      </c>
    </row>
    <row r="24" spans="3:51" x14ac:dyDescent="0.25">
      <c r="C24" s="6">
        <v>18</v>
      </c>
      <c r="D24" s="5" t="str">
        <f>IF(Field15_TravelStartDate="","",Field15_TravelStartDate+Table_Dates[[#This Row],[Day '#]]-1)</f>
        <v/>
      </c>
      <c r="E24" s="5" t="str">
        <f>IF(AND(Field15_TravelStartDate&lt;=Table_Dates[[#This Row],[Travel End Date Available]],Field16_TravelEndDate&gt;=Table_Dates[[#This Row],[Travel End Date Available]]),Table_Dates[[#This Row],[Travel End Date Available]],"XXXX")</f>
        <v/>
      </c>
    </row>
    <row r="25" spans="3:51" x14ac:dyDescent="0.25">
      <c r="C25" s="6">
        <v>19</v>
      </c>
      <c r="D25" s="5" t="str">
        <f>IF(Field15_TravelStartDate="","",Field15_TravelStartDate+Table_Dates[[#This Row],[Day '#]]-1)</f>
        <v/>
      </c>
      <c r="E25" s="5" t="str">
        <f>IF(AND(Field15_TravelStartDate&lt;=Table_Dates[[#This Row],[Travel End Date Available]],Field16_TravelEndDate&gt;=Table_Dates[[#This Row],[Travel End Date Available]]),Table_Dates[[#This Row],[Travel End Date Available]],"XXXX")</f>
        <v/>
      </c>
    </row>
    <row r="26" spans="3:51" x14ac:dyDescent="0.25">
      <c r="C26" s="6">
        <v>20</v>
      </c>
      <c r="D26" s="5" t="str">
        <f>IF(Field15_TravelStartDate="","",Field15_TravelStartDate+Table_Dates[[#This Row],[Day '#]]-1)</f>
        <v/>
      </c>
      <c r="E26" s="5" t="str">
        <f>IF(AND(Field15_TravelStartDate&lt;=Table_Dates[[#This Row],[Travel End Date Available]],Field16_TravelEndDate&gt;=Table_Dates[[#This Row],[Travel End Date Available]]),Table_Dates[[#This Row],[Travel End Date Available]],"XXXX")</f>
        <v/>
      </c>
      <c r="P26"/>
    </row>
    <row r="27" spans="3:51" x14ac:dyDescent="0.25">
      <c r="C27" s="6">
        <v>21</v>
      </c>
      <c r="D27" s="5" t="str">
        <f>IF(Field15_TravelStartDate="","",Field15_TravelStartDate+Table_Dates[[#This Row],[Day '#]]-1)</f>
        <v/>
      </c>
      <c r="E27" s="5" t="str">
        <f>IF(AND(Field15_TravelStartDate&lt;=Table_Dates[[#This Row],[Travel End Date Available]],Field16_TravelEndDate&gt;=Table_Dates[[#This Row],[Travel End Date Available]]),Table_Dates[[#This Row],[Travel End Date Available]],"XXXX")</f>
        <v/>
      </c>
      <c r="P27"/>
      <c r="Q27"/>
      <c r="R27"/>
    </row>
    <row r="28" spans="3:51" x14ac:dyDescent="0.25">
      <c r="C28" s="6">
        <v>22</v>
      </c>
      <c r="D28" s="5" t="str">
        <f>IF(Field15_TravelStartDate="","",Field15_TravelStartDate+Table_Dates[[#This Row],[Day '#]]-1)</f>
        <v/>
      </c>
      <c r="E28" s="5" t="str">
        <f>IF(AND(Field15_TravelStartDate&lt;=Table_Dates[[#This Row],[Travel End Date Available]],Field16_TravelEndDate&gt;=Table_Dates[[#This Row],[Travel End Date Available]]),Table_Dates[[#This Row],[Travel End Date Available]],"XXXX")</f>
        <v/>
      </c>
      <c r="P28"/>
      <c r="Q28"/>
      <c r="R28"/>
    </row>
    <row r="29" spans="3:51" x14ac:dyDescent="0.25">
      <c r="C29" s="6">
        <v>23</v>
      </c>
      <c r="D29" s="5" t="str">
        <f>IF(Field15_TravelStartDate="","",Field15_TravelStartDate+Table_Dates[[#This Row],[Day '#]]-1)</f>
        <v/>
      </c>
      <c r="E29" s="5" t="str">
        <f>IF(AND(Field15_TravelStartDate&lt;=Table_Dates[[#This Row],[Travel End Date Available]],Field16_TravelEndDate&gt;=Table_Dates[[#This Row],[Travel End Date Available]]),Table_Dates[[#This Row],[Travel End Date Available]],"XXXX")</f>
        <v/>
      </c>
      <c r="P29"/>
      <c r="Q29"/>
      <c r="R29"/>
    </row>
    <row r="30" spans="3:51" x14ac:dyDescent="0.25">
      <c r="C30" s="6">
        <v>24</v>
      </c>
      <c r="D30" s="5" t="str">
        <f>IF(Field15_TravelStartDate="","",Field15_TravelStartDate+Table_Dates[[#This Row],[Day '#]]-1)</f>
        <v/>
      </c>
      <c r="E30" s="5" t="str">
        <f>IF(AND(Field15_TravelStartDate&lt;=Table_Dates[[#This Row],[Travel End Date Available]],Field16_TravelEndDate&gt;=Table_Dates[[#This Row],[Travel End Date Available]]),Table_Dates[[#This Row],[Travel End Date Available]],"XXXX")</f>
        <v/>
      </c>
      <c r="P30"/>
      <c r="Q30"/>
      <c r="R30"/>
    </row>
    <row r="31" spans="3:51" x14ac:dyDescent="0.25">
      <c r="C31" s="6">
        <v>25</v>
      </c>
      <c r="D31" s="5" t="str">
        <f>IF(Field15_TravelStartDate="","",Field15_TravelStartDate+Table_Dates[[#This Row],[Day '#]]-1)</f>
        <v/>
      </c>
      <c r="E31" s="5" t="str">
        <f>IF(AND(Field15_TravelStartDate&lt;=Table_Dates[[#This Row],[Travel End Date Available]],Field16_TravelEndDate&gt;=Table_Dates[[#This Row],[Travel End Date Available]]),Table_Dates[[#This Row],[Travel End Date Available]],"XXXX")</f>
        <v/>
      </c>
      <c r="P31"/>
      <c r="Q31"/>
      <c r="R31"/>
    </row>
    <row r="32" spans="3:51" x14ac:dyDescent="0.25">
      <c r="C32" s="6">
        <v>26</v>
      </c>
      <c r="D32" s="5" t="str">
        <f>IF(Field15_TravelStartDate="","",Field15_TravelStartDate+Table_Dates[[#This Row],[Day '#]]-1)</f>
        <v/>
      </c>
      <c r="E32" s="5" t="str">
        <f>IF(AND(Field15_TravelStartDate&lt;=Table_Dates[[#This Row],[Travel End Date Available]],Field16_TravelEndDate&gt;=Table_Dates[[#This Row],[Travel End Date Available]]),Table_Dates[[#This Row],[Travel End Date Available]],"XXXX")</f>
        <v/>
      </c>
      <c r="P32"/>
      <c r="Q32"/>
      <c r="R32"/>
    </row>
    <row r="33" spans="3:18" x14ac:dyDescent="0.25">
      <c r="C33" s="6">
        <v>27</v>
      </c>
      <c r="D33" s="5" t="str">
        <f>IF(Field15_TravelStartDate="","",Field15_TravelStartDate+Table_Dates[[#This Row],[Day '#]]-1)</f>
        <v/>
      </c>
      <c r="E33" s="5" t="str">
        <f>IF(AND(Field15_TravelStartDate&lt;=Table_Dates[[#This Row],[Travel End Date Available]],Field16_TravelEndDate&gt;=Table_Dates[[#This Row],[Travel End Date Available]]),Table_Dates[[#This Row],[Travel End Date Available]],"XXXX")</f>
        <v/>
      </c>
      <c r="P33"/>
      <c r="Q33"/>
      <c r="R33"/>
    </row>
    <row r="34" spans="3:18" x14ac:dyDescent="0.25">
      <c r="C34" s="6">
        <v>28</v>
      </c>
      <c r="D34" s="5" t="str">
        <f>IF(Field15_TravelStartDate="","",Field15_TravelStartDate+Table_Dates[[#This Row],[Day '#]]-1)</f>
        <v/>
      </c>
      <c r="E34" s="5" t="str">
        <f>IF(AND(Field15_TravelStartDate&lt;=Table_Dates[[#This Row],[Travel End Date Available]],Field16_TravelEndDate&gt;=Table_Dates[[#This Row],[Travel End Date Available]]),Table_Dates[[#This Row],[Travel End Date Available]],"XXXX")</f>
        <v/>
      </c>
      <c r="P34"/>
      <c r="Q34"/>
      <c r="R34"/>
    </row>
    <row r="35" spans="3:18" x14ac:dyDescent="0.25">
      <c r="C35" s="6">
        <v>29</v>
      </c>
      <c r="D35" s="5" t="str">
        <f>IF(Field15_TravelStartDate="","",Field15_TravelStartDate+Table_Dates[[#This Row],[Day '#]]-1)</f>
        <v/>
      </c>
      <c r="E35" s="5" t="str">
        <f>IF(AND(Field15_TravelStartDate&lt;=Table_Dates[[#This Row],[Travel End Date Available]],Field16_TravelEndDate&gt;=Table_Dates[[#This Row],[Travel End Date Available]]),Table_Dates[[#This Row],[Travel End Date Available]],"XXXX")</f>
        <v/>
      </c>
      <c r="P35"/>
      <c r="Q35"/>
      <c r="R35"/>
    </row>
    <row r="36" spans="3:18" x14ac:dyDescent="0.25">
      <c r="C36" s="6">
        <v>30</v>
      </c>
      <c r="D36" s="5" t="str">
        <f>IF(Field15_TravelStartDate="","",Field15_TravelStartDate+Table_Dates[[#This Row],[Day '#]]-1)</f>
        <v/>
      </c>
      <c r="E36" s="5" t="str">
        <f>IF(AND(Field15_TravelStartDate&lt;=Table_Dates[[#This Row],[Travel End Date Available]],Field16_TravelEndDate&gt;=Table_Dates[[#This Row],[Travel End Date Available]]),Table_Dates[[#This Row],[Travel End Date Available]],"XXXX")</f>
        <v/>
      </c>
      <c r="P36"/>
      <c r="Q36"/>
      <c r="R36"/>
    </row>
    <row r="37" spans="3:18" x14ac:dyDescent="0.25">
      <c r="C37" s="6">
        <v>31</v>
      </c>
      <c r="D37" s="5" t="str">
        <f>IF(Field15_TravelStartDate="","",Field15_TravelStartDate+Table_Dates[[#This Row],[Day '#]]-1)</f>
        <v/>
      </c>
      <c r="E37" s="5" t="str">
        <f>IF(AND(Field15_TravelStartDate&lt;=Table_Dates[[#This Row],[Travel End Date Available]],Field16_TravelEndDate&gt;=Table_Dates[[#This Row],[Travel End Date Available]]),Table_Dates[[#This Row],[Travel End Date Available]],"XXXX")</f>
        <v/>
      </c>
      <c r="P37"/>
      <c r="Q37"/>
      <c r="R37"/>
    </row>
    <row r="38" spans="3:18" x14ac:dyDescent="0.25">
      <c r="C38" s="6">
        <v>32</v>
      </c>
      <c r="D38" s="5" t="str">
        <f>IF(Field15_TravelStartDate="","",Field15_TravelStartDate+Table_Dates[[#This Row],[Day '#]]-1)</f>
        <v/>
      </c>
      <c r="E38" s="5" t="str">
        <f>IF(AND(Field15_TravelStartDate&lt;=Table_Dates[[#This Row],[Travel End Date Available]],Field16_TravelEndDate&gt;=Table_Dates[[#This Row],[Travel End Date Available]]),Table_Dates[[#This Row],[Travel End Date Available]],"XXXX")</f>
        <v/>
      </c>
      <c r="P38"/>
      <c r="Q38"/>
      <c r="R38"/>
    </row>
    <row r="39" spans="3:18" x14ac:dyDescent="0.25">
      <c r="C39" s="6">
        <v>33</v>
      </c>
      <c r="D39" s="5" t="str">
        <f>IF(Field15_TravelStartDate="","",Field15_TravelStartDate+Table_Dates[[#This Row],[Day '#]]-1)</f>
        <v/>
      </c>
      <c r="E39" s="5" t="str">
        <f>IF(AND(Field15_TravelStartDate&lt;=Table_Dates[[#This Row],[Travel End Date Available]],Field16_TravelEndDate&gt;=Table_Dates[[#This Row],[Travel End Date Available]]),Table_Dates[[#This Row],[Travel End Date Available]],"XXXX")</f>
        <v/>
      </c>
      <c r="P39"/>
      <c r="Q39"/>
      <c r="R39"/>
    </row>
    <row r="40" spans="3:18" x14ac:dyDescent="0.25">
      <c r="C40" s="6">
        <v>34</v>
      </c>
      <c r="D40" s="5" t="str">
        <f>IF(Field15_TravelStartDate="","",Field15_TravelStartDate+Table_Dates[[#This Row],[Day '#]]-1)</f>
        <v/>
      </c>
      <c r="E40" s="5" t="str">
        <f>IF(AND(Field15_TravelStartDate&lt;=Table_Dates[[#This Row],[Travel End Date Available]],Field16_TravelEndDate&gt;=Table_Dates[[#This Row],[Travel End Date Available]]),Table_Dates[[#This Row],[Travel End Date Available]],"XXXX")</f>
        <v/>
      </c>
      <c r="P40"/>
      <c r="Q40"/>
      <c r="R40"/>
    </row>
    <row r="41" spans="3:18" x14ac:dyDescent="0.25">
      <c r="C41" s="6">
        <v>35</v>
      </c>
      <c r="D41" s="5" t="str">
        <f>IF(Field15_TravelStartDate="","",Field15_TravelStartDate+Table_Dates[[#This Row],[Day '#]]-1)</f>
        <v/>
      </c>
      <c r="E41" s="5" t="str">
        <f>IF(AND(Field15_TravelStartDate&lt;=Table_Dates[[#This Row],[Travel End Date Available]],Field16_TravelEndDate&gt;=Table_Dates[[#This Row],[Travel End Date Available]]),Table_Dates[[#This Row],[Travel End Date Available]],"XXXX")</f>
        <v/>
      </c>
      <c r="Q41"/>
      <c r="R41"/>
    </row>
    <row r="42" spans="3:18" x14ac:dyDescent="0.25">
      <c r="C42" s="6">
        <v>36</v>
      </c>
      <c r="D42" s="5" t="str">
        <f>IF(Field15_TravelStartDate="","",Field15_TravelStartDate+Table_Dates[[#This Row],[Day '#]]-1)</f>
        <v/>
      </c>
      <c r="E42" s="5" t="str">
        <f>IF(AND(Field15_TravelStartDate&lt;=Table_Dates[[#This Row],[Travel End Date Available]],Field16_TravelEndDate&gt;=Table_Dates[[#This Row],[Travel End Date Available]]),Table_Dates[[#This Row],[Travel End Date Available]],"XXXX")</f>
        <v/>
      </c>
    </row>
    <row r="43" spans="3:18" x14ac:dyDescent="0.25">
      <c r="C43" s="6">
        <v>37</v>
      </c>
      <c r="D43" s="5" t="str">
        <f>IF(Field15_TravelStartDate="","",Field15_TravelStartDate+Table_Dates[[#This Row],[Day '#]]-1)</f>
        <v/>
      </c>
      <c r="E43" s="5" t="str">
        <f>IF(AND(Field15_TravelStartDate&lt;=Table_Dates[[#This Row],[Travel End Date Available]],Field16_TravelEndDate&gt;=Table_Dates[[#This Row],[Travel End Date Available]]),Table_Dates[[#This Row],[Travel End Date Available]],"XXXX")</f>
        <v/>
      </c>
    </row>
    <row r="44" spans="3:18" x14ac:dyDescent="0.25">
      <c r="C44" s="6">
        <v>38</v>
      </c>
      <c r="D44" s="5" t="str">
        <f>IF(Field15_TravelStartDate="","",Field15_TravelStartDate+Table_Dates[[#This Row],[Day '#]]-1)</f>
        <v/>
      </c>
      <c r="E44" s="5" t="str">
        <f>IF(AND(Field15_TravelStartDate&lt;=Table_Dates[[#This Row],[Travel End Date Available]],Field16_TravelEndDate&gt;=Table_Dates[[#This Row],[Travel End Date Available]]),Table_Dates[[#This Row],[Travel End Date Available]],"XXXX")</f>
        <v/>
      </c>
    </row>
    <row r="45" spans="3:18" x14ac:dyDescent="0.25">
      <c r="C45" s="6">
        <v>39</v>
      </c>
      <c r="D45" s="5" t="str">
        <f>IF(Field15_TravelStartDate="","",Field15_TravelStartDate+Table_Dates[[#This Row],[Day '#]]-1)</f>
        <v/>
      </c>
      <c r="E45" s="5" t="str">
        <f>IF(AND(Field15_TravelStartDate&lt;=Table_Dates[[#This Row],[Travel End Date Available]],Field16_TravelEndDate&gt;=Table_Dates[[#This Row],[Travel End Date Available]]),Table_Dates[[#This Row],[Travel End Date Available]],"XXXX")</f>
        <v/>
      </c>
    </row>
    <row r="46" spans="3:18" x14ac:dyDescent="0.25">
      <c r="C46" s="6">
        <v>40</v>
      </c>
      <c r="D46" s="5" t="str">
        <f>IF(Field15_TravelStartDate="","",Field15_TravelStartDate+Table_Dates[[#This Row],[Day '#]]-1)</f>
        <v/>
      </c>
      <c r="E46" s="5" t="str">
        <f>IF(AND(Field15_TravelStartDate&lt;=Table_Dates[[#This Row],[Travel End Date Available]],Field16_TravelEndDate&gt;=Table_Dates[[#This Row],[Travel End Date Available]]),Table_Dates[[#This Row],[Travel End Date Available]],"XXXX")</f>
        <v/>
      </c>
    </row>
    <row r="47" spans="3:18" x14ac:dyDescent="0.25">
      <c r="C47" s="6">
        <v>41</v>
      </c>
      <c r="D47" s="5" t="str">
        <f>IF(Field15_TravelStartDate="","",Field15_TravelStartDate+Table_Dates[[#This Row],[Day '#]]-1)</f>
        <v/>
      </c>
      <c r="E47" s="5" t="str">
        <f>IF(AND(Field15_TravelStartDate&lt;=Table_Dates[[#This Row],[Travel End Date Available]],Field16_TravelEndDate&gt;=Table_Dates[[#This Row],[Travel End Date Available]]),Table_Dates[[#This Row],[Travel End Date Available]],"XXXX")</f>
        <v/>
      </c>
    </row>
    <row r="48" spans="3:18" x14ac:dyDescent="0.25">
      <c r="C48" s="6">
        <v>42</v>
      </c>
      <c r="D48" s="5" t="str">
        <f>IF(Field15_TravelStartDate="","",Field15_TravelStartDate+Table_Dates[[#This Row],[Day '#]]-1)</f>
        <v/>
      </c>
      <c r="E48" s="5" t="str">
        <f>IF(AND(Field15_TravelStartDate&lt;=Table_Dates[[#This Row],[Travel End Date Available]],Field16_TravelEndDate&gt;=Table_Dates[[#This Row],[Travel End Date Available]]),Table_Dates[[#This Row],[Travel End Date Available]],"XXXX")</f>
        <v/>
      </c>
    </row>
    <row r="49" spans="3:5" x14ac:dyDescent="0.25">
      <c r="C49" s="6">
        <v>43</v>
      </c>
      <c r="D49" s="5" t="str">
        <f>IF(Field15_TravelStartDate="","",Field15_TravelStartDate+Table_Dates[[#This Row],[Day '#]]-1)</f>
        <v/>
      </c>
      <c r="E49" s="5" t="str">
        <f>IF(AND(Field15_TravelStartDate&lt;=Table_Dates[[#This Row],[Travel End Date Available]],Field16_TravelEndDate&gt;=Table_Dates[[#This Row],[Travel End Date Available]]),Table_Dates[[#This Row],[Travel End Date Available]],"XXXX")</f>
        <v/>
      </c>
    </row>
    <row r="50" spans="3:5" x14ac:dyDescent="0.25">
      <c r="C50" s="6">
        <v>44</v>
      </c>
      <c r="D50" s="5" t="str">
        <f>IF(Field15_TravelStartDate="","",Field15_TravelStartDate+Table_Dates[[#This Row],[Day '#]]-1)</f>
        <v/>
      </c>
      <c r="E50" s="5" t="str">
        <f>IF(AND(Field15_TravelStartDate&lt;=Table_Dates[[#This Row],[Travel End Date Available]],Field16_TravelEndDate&gt;=Table_Dates[[#This Row],[Travel End Date Available]]),Table_Dates[[#This Row],[Travel End Date Available]],"XXXX")</f>
        <v/>
      </c>
    </row>
    <row r="51" spans="3:5" x14ac:dyDescent="0.25">
      <c r="C51" s="6">
        <v>45</v>
      </c>
      <c r="D51" s="5" t="str">
        <f>IF(Field15_TravelStartDate="","",Field15_TravelStartDate+Table_Dates[[#This Row],[Day '#]]-1)</f>
        <v/>
      </c>
      <c r="E51" s="5" t="str">
        <f>IF(AND(Field15_TravelStartDate&lt;=Table_Dates[[#This Row],[Travel End Date Available]],Field16_TravelEndDate&gt;=Table_Dates[[#This Row],[Travel End Date Available]]),Table_Dates[[#This Row],[Travel End Date Available]],"XXXX")</f>
        <v/>
      </c>
    </row>
    <row r="52" spans="3:5" x14ac:dyDescent="0.25">
      <c r="C52" s="6">
        <v>46</v>
      </c>
      <c r="D52" s="5" t="str">
        <f>IF(Field15_TravelStartDate="","",Field15_TravelStartDate+Table_Dates[[#This Row],[Day '#]]-1)</f>
        <v/>
      </c>
      <c r="E52" s="5" t="str">
        <f>IF(AND(Field15_TravelStartDate&lt;=Table_Dates[[#This Row],[Travel End Date Available]],Field16_TravelEndDate&gt;=Table_Dates[[#This Row],[Travel End Date Available]]),Table_Dates[[#This Row],[Travel End Date Available]],"XXXX")</f>
        <v/>
      </c>
    </row>
    <row r="53" spans="3:5" x14ac:dyDescent="0.25">
      <c r="C53" s="6">
        <v>47</v>
      </c>
      <c r="D53" s="5" t="str">
        <f>IF(Field15_TravelStartDate="","",Field15_TravelStartDate+Table_Dates[[#This Row],[Day '#]]-1)</f>
        <v/>
      </c>
      <c r="E53" s="5" t="str">
        <f>IF(AND(Field15_TravelStartDate&lt;=Table_Dates[[#This Row],[Travel End Date Available]],Field16_TravelEndDate&gt;=Table_Dates[[#This Row],[Travel End Date Available]]),Table_Dates[[#This Row],[Travel End Date Available]],"XXXX")</f>
        <v/>
      </c>
    </row>
    <row r="54" spans="3:5" x14ac:dyDescent="0.25">
      <c r="C54" s="6">
        <v>48</v>
      </c>
      <c r="D54" s="5" t="str">
        <f>IF(Field15_TravelStartDate="","",Field15_TravelStartDate+Table_Dates[[#This Row],[Day '#]]-1)</f>
        <v/>
      </c>
      <c r="E54" s="5" t="str">
        <f>IF(AND(Field15_TravelStartDate&lt;=Table_Dates[[#This Row],[Travel End Date Available]],Field16_TravelEndDate&gt;=Table_Dates[[#This Row],[Travel End Date Available]]),Table_Dates[[#This Row],[Travel End Date Available]],"XXXX")</f>
        <v/>
      </c>
    </row>
    <row r="55" spans="3:5" x14ac:dyDescent="0.25">
      <c r="C55" s="6">
        <v>49</v>
      </c>
      <c r="D55" s="5" t="str">
        <f>IF(Field15_TravelStartDate="","",Field15_TravelStartDate+Table_Dates[[#This Row],[Day '#]]-1)</f>
        <v/>
      </c>
      <c r="E55" s="5" t="str">
        <f>IF(AND(Field15_TravelStartDate&lt;=Table_Dates[[#This Row],[Travel End Date Available]],Field16_TravelEndDate&gt;=Table_Dates[[#This Row],[Travel End Date Available]]),Table_Dates[[#This Row],[Travel End Date Available]],"XXXX")</f>
        <v/>
      </c>
    </row>
    <row r="56" spans="3:5" x14ac:dyDescent="0.25">
      <c r="C56" s="6">
        <v>50</v>
      </c>
      <c r="D56" s="5" t="str">
        <f>IF(Field15_TravelStartDate="","",Field15_TravelStartDate+Table_Dates[[#This Row],[Day '#]]-1)</f>
        <v/>
      </c>
      <c r="E56" s="5" t="str">
        <f>IF(AND(Field15_TravelStartDate&lt;=Table_Dates[[#This Row],[Travel End Date Available]],Field16_TravelEndDate&gt;=Table_Dates[[#This Row],[Travel End Date Available]]),Table_Dates[[#This Row],[Travel End Date Available]],"XXXX")</f>
        <v/>
      </c>
    </row>
    <row r="57" spans="3:5" x14ac:dyDescent="0.25">
      <c r="C57" s="6">
        <v>51</v>
      </c>
      <c r="D57" s="5" t="str">
        <f>IF(Field15_TravelStartDate="","",Field15_TravelStartDate+Table_Dates[[#This Row],[Day '#]]-1)</f>
        <v/>
      </c>
      <c r="E57" s="5" t="str">
        <f>IF(AND(Field15_TravelStartDate&lt;=Table_Dates[[#This Row],[Travel End Date Available]],Field16_TravelEndDate&gt;=Table_Dates[[#This Row],[Travel End Date Available]]),Table_Dates[[#This Row],[Travel End Date Available]],"XXXX")</f>
        <v/>
      </c>
    </row>
    <row r="58" spans="3:5" x14ac:dyDescent="0.25">
      <c r="C58" s="6">
        <v>52</v>
      </c>
      <c r="D58" s="5" t="str">
        <f>IF(Field15_TravelStartDate="","",Field15_TravelStartDate+Table_Dates[[#This Row],[Day '#]]-1)</f>
        <v/>
      </c>
      <c r="E58" s="5" t="str">
        <f>IF(AND(Field15_TravelStartDate&lt;=Table_Dates[[#This Row],[Travel End Date Available]],Field16_TravelEndDate&gt;=Table_Dates[[#This Row],[Travel End Date Available]]),Table_Dates[[#This Row],[Travel End Date Available]],"XXXX")</f>
        <v/>
      </c>
    </row>
    <row r="59" spans="3:5" x14ac:dyDescent="0.25">
      <c r="C59" s="6">
        <v>53</v>
      </c>
      <c r="D59" s="5" t="str">
        <f>IF(Field15_TravelStartDate="","",Field15_TravelStartDate+Table_Dates[[#This Row],[Day '#]]-1)</f>
        <v/>
      </c>
      <c r="E59" s="5" t="str">
        <f>IF(AND(Field15_TravelStartDate&lt;=Table_Dates[[#This Row],[Travel End Date Available]],Field16_TravelEndDate&gt;=Table_Dates[[#This Row],[Travel End Date Available]]),Table_Dates[[#This Row],[Travel End Date Available]],"XXXX")</f>
        <v/>
      </c>
    </row>
    <row r="60" spans="3:5" x14ac:dyDescent="0.25">
      <c r="C60" s="6">
        <v>54</v>
      </c>
      <c r="D60" s="5" t="str">
        <f>IF(Field15_TravelStartDate="","",Field15_TravelStartDate+Table_Dates[[#This Row],[Day '#]]-1)</f>
        <v/>
      </c>
      <c r="E60" s="5" t="str">
        <f>IF(AND(Field15_TravelStartDate&lt;=Table_Dates[[#This Row],[Travel End Date Available]],Field16_TravelEndDate&gt;=Table_Dates[[#This Row],[Travel End Date Available]]),Table_Dates[[#This Row],[Travel End Date Available]],"XXXX")</f>
        <v/>
      </c>
    </row>
    <row r="61" spans="3:5" x14ac:dyDescent="0.25">
      <c r="C61" s="6">
        <v>55</v>
      </c>
      <c r="D61" s="5" t="str">
        <f>IF(Field15_TravelStartDate="","",Field15_TravelStartDate+Table_Dates[[#This Row],[Day '#]]-1)</f>
        <v/>
      </c>
      <c r="E61" s="5" t="str">
        <f>IF(AND(Field15_TravelStartDate&lt;=Table_Dates[[#This Row],[Travel End Date Available]],Field16_TravelEndDate&gt;=Table_Dates[[#This Row],[Travel End Date Available]]),Table_Dates[[#This Row],[Travel End Date Available]],"XXXX")</f>
        <v/>
      </c>
    </row>
    <row r="62" spans="3:5" x14ac:dyDescent="0.25">
      <c r="C62" s="6">
        <v>56</v>
      </c>
      <c r="D62" s="5" t="str">
        <f>IF(Field15_TravelStartDate="","",Field15_TravelStartDate+Table_Dates[[#This Row],[Day '#]]-1)</f>
        <v/>
      </c>
      <c r="E62" s="5" t="str">
        <f>IF(AND(Field15_TravelStartDate&lt;=Table_Dates[[#This Row],[Travel End Date Available]],Field16_TravelEndDate&gt;=Table_Dates[[#This Row],[Travel End Date Available]]),Table_Dates[[#This Row],[Travel End Date Available]],"XXXX")</f>
        <v/>
      </c>
    </row>
    <row r="63" spans="3:5" x14ac:dyDescent="0.25">
      <c r="C63" s="6">
        <v>57</v>
      </c>
      <c r="D63" s="5" t="str">
        <f>IF(Field15_TravelStartDate="","",Field15_TravelStartDate+Table_Dates[[#This Row],[Day '#]]-1)</f>
        <v/>
      </c>
      <c r="E63" s="5" t="str">
        <f>IF(AND(Field15_TravelStartDate&lt;=Table_Dates[[#This Row],[Travel End Date Available]],Field16_TravelEndDate&gt;=Table_Dates[[#This Row],[Travel End Date Available]]),Table_Dates[[#This Row],[Travel End Date Available]],"XXXX")</f>
        <v/>
      </c>
    </row>
    <row r="64" spans="3:5" x14ac:dyDescent="0.25">
      <c r="C64" s="6">
        <v>58</v>
      </c>
      <c r="D64" s="5" t="str">
        <f>IF(Field15_TravelStartDate="","",Field15_TravelStartDate+Table_Dates[[#This Row],[Day '#]]-1)</f>
        <v/>
      </c>
      <c r="E64" s="5" t="str">
        <f>IF(AND(Field15_TravelStartDate&lt;=Table_Dates[[#This Row],[Travel End Date Available]],Field16_TravelEndDate&gt;=Table_Dates[[#This Row],[Travel End Date Available]]),Table_Dates[[#This Row],[Travel End Date Available]],"XXXX")</f>
        <v/>
      </c>
    </row>
    <row r="65" spans="3:5" x14ac:dyDescent="0.25">
      <c r="C65" s="6">
        <v>59</v>
      </c>
      <c r="D65" s="5" t="str">
        <f>IF(Field15_TravelStartDate="","",Field15_TravelStartDate+Table_Dates[[#This Row],[Day '#]]-1)</f>
        <v/>
      </c>
      <c r="E65" s="5" t="str">
        <f>IF(AND(Field15_TravelStartDate&lt;=Table_Dates[[#This Row],[Travel End Date Available]],Field16_TravelEndDate&gt;=Table_Dates[[#This Row],[Travel End Date Available]]),Table_Dates[[#This Row],[Travel End Date Available]],"XXXX")</f>
        <v/>
      </c>
    </row>
    <row r="66" spans="3:5" x14ac:dyDescent="0.25">
      <c r="C66" s="6">
        <v>60</v>
      </c>
      <c r="D66" s="5" t="str">
        <f>IF(Field15_TravelStartDate="","",Field15_TravelStartDate+Table_Dates[[#This Row],[Day '#]]-1)</f>
        <v/>
      </c>
      <c r="E66" s="5" t="str">
        <f>IF(AND(Field15_TravelStartDate&lt;=Table_Dates[[#This Row],[Travel End Date Available]],Field16_TravelEndDate&gt;=Table_Dates[[#This Row],[Travel End Date Available]]),Table_Dates[[#This Row],[Travel End Date Available]],"XXXX")</f>
        <v/>
      </c>
    </row>
    <row r="68" spans="3:5" x14ac:dyDescent="0.25">
      <c r="C68" s="355" t="s">
        <v>25</v>
      </c>
      <c r="D68" s="356"/>
      <c r="E68" s="357"/>
    </row>
    <row r="69" spans="3:5" x14ac:dyDescent="0.25">
      <c r="C69" s="354" t="s">
        <v>309</v>
      </c>
      <c r="D69" s="354"/>
      <c r="E69" s="354"/>
    </row>
    <row r="70" spans="3:5" x14ac:dyDescent="0.25">
      <c r="C70" s="354"/>
      <c r="D70" s="354"/>
      <c r="E70" s="354"/>
    </row>
    <row r="71" spans="3:5" x14ac:dyDescent="0.25">
      <c r="C71" s="354"/>
      <c r="D71" s="354"/>
      <c r="E71" s="354"/>
    </row>
    <row r="72" spans="3:5" x14ac:dyDescent="0.25">
      <c r="C72" s="354"/>
      <c r="D72" s="354"/>
      <c r="E72" s="354"/>
    </row>
    <row r="74" spans="3:5" x14ac:dyDescent="0.25">
      <c r="C74" s="27" t="s">
        <v>203</v>
      </c>
    </row>
    <row r="75" spans="3:5" x14ac:dyDescent="0.25">
      <c r="C75" t="s">
        <v>204</v>
      </c>
    </row>
    <row r="77" spans="3:5" x14ac:dyDescent="0.25">
      <c r="C77" s="49" t="s">
        <v>207</v>
      </c>
      <c r="D77" s="49"/>
    </row>
    <row r="78" spans="3:5" x14ac:dyDescent="0.25">
      <c r="C78" s="50" t="s">
        <v>205</v>
      </c>
      <c r="D78" s="51">
        <f>IF(Field16_TravelEndDate&gt;0,Field16_TravelEndDate,IF(Field15_TravelStartDate&gt;0,Field15_TravelStartDate,0))</f>
        <v>0</v>
      </c>
      <c r="E78" t="s">
        <v>399</v>
      </c>
    </row>
    <row r="79" spans="3:5" x14ac:dyDescent="0.25">
      <c r="C79" s="50" t="s">
        <v>206</v>
      </c>
      <c r="D79" s="51">
        <f>DATE(YEAR($D$78),MONTH($D$78)+3,DAY($D$78))</f>
        <v>91</v>
      </c>
      <c r="E79" t="s">
        <v>400</v>
      </c>
    </row>
    <row r="80" spans="3:5" x14ac:dyDescent="0.25">
      <c r="D80" s="33"/>
    </row>
    <row r="81" spans="4:4" x14ac:dyDescent="0.25">
      <c r="D81" s="34"/>
    </row>
  </sheetData>
  <sheetProtection password="EDC4" sheet="1" objects="1" scenarios="1" selectLockedCells="1" selectUnlockedCells="1"/>
  <mergeCells count="6">
    <mergeCell ref="C1:E1"/>
    <mergeCell ref="C69:E72"/>
    <mergeCell ref="C68:E68"/>
    <mergeCell ref="AY4:AZ4"/>
    <mergeCell ref="AY3:AZ3"/>
    <mergeCell ref="T1:W1"/>
  </mergeCells>
  <dataValidations disablePrompts="1" count="2">
    <dataValidation type="list" allowBlank="1" showInputMessage="1" showErrorMessage="1" sqref="AE16">
      <formula1>Dropdown_Range</formula1>
    </dataValidation>
    <dataValidation type="date" allowBlank="1" showInputMessage="1" showErrorMessage="1" sqref="D81">
      <formula1>$D$78</formula1>
      <formula2>$D$79</formula2>
    </dataValidation>
  </dataValidations>
  <pageMargins left="0.7" right="0.7" top="0.75" bottom="0.75" header="0.3" footer="0.3"/>
  <pageSetup orientation="portrait"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74"/>
  <sheetViews>
    <sheetView workbookViewId="0"/>
  </sheetViews>
  <sheetFormatPr defaultRowHeight="15" x14ac:dyDescent="0.25"/>
  <cols>
    <col min="2" max="2" width="28.42578125" bestFit="1" customWidth="1"/>
    <col min="4" max="4" width="28.42578125" bestFit="1" customWidth="1"/>
  </cols>
  <sheetData>
    <row r="1" spans="2:4" ht="21" x14ac:dyDescent="0.35">
      <c r="B1" s="14" t="s">
        <v>1109</v>
      </c>
      <c r="D1" s="14" t="s">
        <v>1111</v>
      </c>
    </row>
    <row r="2" spans="2:4" x14ac:dyDescent="0.25">
      <c r="B2" s="32"/>
      <c r="D2" s="32"/>
    </row>
    <row r="3" spans="2:4" x14ac:dyDescent="0.25">
      <c r="B3" s="32" t="s">
        <v>1110</v>
      </c>
      <c r="D3" s="32" t="s">
        <v>1112</v>
      </c>
    </row>
    <row r="4" spans="2:4" x14ac:dyDescent="0.25">
      <c r="B4" s="32"/>
      <c r="D4" s="32"/>
    </row>
    <row r="5" spans="2:4" x14ac:dyDescent="0.25">
      <c r="B5" s="32"/>
      <c r="D5" s="32"/>
    </row>
    <row r="6" spans="2:4" x14ac:dyDescent="0.25">
      <c r="B6" s="6" t="s">
        <v>1011</v>
      </c>
      <c r="D6" s="6" t="s">
        <v>1011</v>
      </c>
    </row>
    <row r="7" spans="2:4" x14ac:dyDescent="0.25">
      <c r="B7" s="6" t="str">
        <f>Dropdown_NotSelectedValue</f>
        <v>Select</v>
      </c>
      <c r="D7" s="6" t="str">
        <f>Dropdown_NotSelectedValue</f>
        <v>Select</v>
      </c>
    </row>
    <row r="8" spans="2:4" x14ac:dyDescent="0.25">
      <c r="B8" s="6" t="str">
        <f>INDEX(Table_KMMatrix[Community],ROW()-7,1)</f>
        <v xml:space="preserve">Atikokan </v>
      </c>
      <c r="D8" s="6" t="str">
        <f ca="1">INDEX(OFFSET(Table_KMMatrix[#Headers],0,1,1,COUNTA(Table_KMMatrix[#Headers])-1),1,ROW()-7)</f>
        <v>Hamilton</v>
      </c>
    </row>
    <row r="9" spans="2:4" x14ac:dyDescent="0.25">
      <c r="B9" s="6" t="str">
        <f>INDEX(Table_KMMatrix[Community],ROW()-7,1)</f>
        <v xml:space="preserve">Batchewana F.N. </v>
      </c>
      <c r="D9" s="6" t="str">
        <f ca="1">INDEX(OFFSET(Table_KMMatrix[#Headers],0,1,1,COUNTA(Table_KMMatrix[#Headers])-1),1,ROW()-7)</f>
        <v>Kingston</v>
      </c>
    </row>
    <row r="10" spans="2:4" x14ac:dyDescent="0.25">
      <c r="B10" s="6" t="str">
        <f>INDEX(Table_KMMatrix[Community],ROW()-7,1)</f>
        <v xml:space="preserve">Blind River </v>
      </c>
      <c r="D10" s="6" t="str">
        <f ca="1">INDEX(OFFSET(Table_KMMatrix[#Headers],0,1,1,COUNTA(Table_KMMatrix[#Headers])-1),1,ROW()-7)</f>
        <v>London</v>
      </c>
    </row>
    <row r="11" spans="2:4" x14ac:dyDescent="0.25">
      <c r="B11" s="6" t="str">
        <f>INDEX(Table_KMMatrix[Community],ROW()-7,1)</f>
        <v xml:space="preserve">Bracebridge </v>
      </c>
      <c r="D11" s="6" t="str">
        <f ca="1">INDEX(OFFSET(Table_KMMatrix[#Headers],0,1,1,COUNTA(Table_KMMatrix[#Headers])-1),1,ROW()-7)</f>
        <v>Ottawa</v>
      </c>
    </row>
    <row r="12" spans="2:4" x14ac:dyDescent="0.25">
      <c r="B12" s="6" t="str">
        <f>INDEX(Table_KMMatrix[Community],ROW()-7,1)</f>
        <v xml:space="preserve">Burk's Falls </v>
      </c>
      <c r="D12" s="6" t="str">
        <f ca="1">INDEX(OFFSET(Table_KMMatrix[#Headers],0,1,1,COUNTA(Table_KMMatrix[#Headers])-1),1,ROW()-7)</f>
        <v xml:space="preserve">Sudbury </v>
      </c>
    </row>
    <row r="13" spans="2:4" x14ac:dyDescent="0.25">
      <c r="B13" s="6" t="str">
        <f>INDEX(Table_KMMatrix[Community],ROW()-7,1)</f>
        <v xml:space="preserve">Callander </v>
      </c>
      <c r="D13" s="6" t="str">
        <f ca="1">INDEX(OFFSET(Table_KMMatrix[#Headers],0,1,1,COUNTA(Table_KMMatrix[#Headers])-1),1,ROW()-7)</f>
        <v>Thunder Bay</v>
      </c>
    </row>
    <row r="14" spans="2:4" x14ac:dyDescent="0.25">
      <c r="B14" s="6" t="str">
        <f>INDEX(Table_KMMatrix[Community],ROW()-7,1)</f>
        <v xml:space="preserve">Cochrane </v>
      </c>
      <c r="D14" s="6" t="str">
        <f ca="1">INDEX(OFFSET(Table_KMMatrix[#Headers],0,1,1,COUNTA(Table_KMMatrix[#Headers])-1),1,ROW()-7)</f>
        <v>Toronto</v>
      </c>
    </row>
    <row r="15" spans="2:4" x14ac:dyDescent="0.25">
      <c r="B15" s="6" t="str">
        <f>INDEX(Table_KMMatrix[Community],ROW()-7,1)</f>
        <v xml:space="preserve">Constance Lake F.N. </v>
      </c>
      <c r="D15" s="6"/>
    </row>
    <row r="16" spans="2:4" x14ac:dyDescent="0.25">
      <c r="B16" s="6" t="str">
        <f>INDEX(Table_KMMatrix[Community],ROW()-7,1)</f>
        <v xml:space="preserve">Dryden </v>
      </c>
    </row>
    <row r="17" spans="2:2" x14ac:dyDescent="0.25">
      <c r="B17" s="6" t="str">
        <f>INDEX(Table_KMMatrix[Community],ROW()-7,1)</f>
        <v xml:space="preserve">Elliot Lake </v>
      </c>
    </row>
    <row r="18" spans="2:2" x14ac:dyDescent="0.25">
      <c r="B18" s="6" t="str">
        <f>INDEX(Table_KMMatrix[Community],ROW()-7,1)</f>
        <v xml:space="preserve">Emo </v>
      </c>
    </row>
    <row r="19" spans="2:2" x14ac:dyDescent="0.25">
      <c r="B19" s="6" t="str">
        <f>INDEX(Table_KMMatrix[Community],ROW()-7,1)</f>
        <v xml:space="preserve">Englehart </v>
      </c>
    </row>
    <row r="20" spans="2:2" x14ac:dyDescent="0.25">
      <c r="B20" s="6" t="str">
        <f>INDEX(Table_KMMatrix[Community],ROW()-7,1)</f>
        <v xml:space="preserve">Espanola </v>
      </c>
    </row>
    <row r="21" spans="2:2" x14ac:dyDescent="0.25">
      <c r="B21" s="6" t="str">
        <f>INDEX(Table_KMMatrix[Community],ROW()-7,1)</f>
        <v xml:space="preserve">Fort Frances </v>
      </c>
    </row>
    <row r="22" spans="2:2" x14ac:dyDescent="0.25">
      <c r="B22" s="6" t="str">
        <f>INDEX(Table_KMMatrix[Community],ROW()-7,1)</f>
        <v xml:space="preserve">Fort William F.N. </v>
      </c>
    </row>
    <row r="23" spans="2:2" x14ac:dyDescent="0.25">
      <c r="B23" s="6" t="str">
        <f>INDEX(Table_KMMatrix[Community],ROW()-7,1)</f>
        <v xml:space="preserve">Garden River F.N. </v>
      </c>
    </row>
    <row r="24" spans="2:2" x14ac:dyDescent="0.25">
      <c r="B24" s="6" t="str">
        <f>INDEX(Table_KMMatrix[Community],ROW()-7,1)</f>
        <v>Geraldton</v>
      </c>
    </row>
    <row r="25" spans="2:2" x14ac:dyDescent="0.25">
      <c r="B25" s="6" t="str">
        <f>INDEX(Table_KMMatrix[Community],ROW()-7,1)</f>
        <v xml:space="preserve">Gore Bay </v>
      </c>
    </row>
    <row r="26" spans="2:2" x14ac:dyDescent="0.25">
      <c r="B26" s="6" t="str">
        <f>INDEX(Table_KMMatrix[Community],ROW()-7,1)</f>
        <v>Hamilton</v>
      </c>
    </row>
    <row r="27" spans="2:2" x14ac:dyDescent="0.25">
      <c r="B27" s="6" t="str">
        <f>INDEX(Table_KMMatrix[Community],ROW()-7,1)</f>
        <v xml:space="preserve">Hearst </v>
      </c>
    </row>
    <row r="28" spans="2:2" x14ac:dyDescent="0.25">
      <c r="B28" s="6" t="str">
        <f>INDEX(Table_KMMatrix[Community],ROW()-7,1)</f>
        <v xml:space="preserve">Hornepayne </v>
      </c>
    </row>
    <row r="29" spans="2:2" x14ac:dyDescent="0.25">
      <c r="B29" s="6" t="str">
        <f>INDEX(Table_KMMatrix[Community],ROW()-7,1)</f>
        <v xml:space="preserve">Huntsville </v>
      </c>
    </row>
    <row r="30" spans="2:2" x14ac:dyDescent="0.25">
      <c r="B30" s="6" t="str">
        <f>INDEX(Table_KMMatrix[Community],ROW()-7,1)</f>
        <v xml:space="preserve">Iroquois Falls </v>
      </c>
    </row>
    <row r="31" spans="2:2" x14ac:dyDescent="0.25">
      <c r="B31" s="6" t="str">
        <f>INDEX(Table_KMMatrix[Community],ROW()-7,1)</f>
        <v xml:space="preserve">Kapuskasing </v>
      </c>
    </row>
    <row r="32" spans="2:2" x14ac:dyDescent="0.25">
      <c r="B32" s="6" t="str">
        <f>INDEX(Table_KMMatrix[Community],ROW()-7,1)</f>
        <v xml:space="preserve">Kenora </v>
      </c>
    </row>
    <row r="33" spans="2:2" x14ac:dyDescent="0.25">
      <c r="B33" s="6" t="str">
        <f>INDEX(Table_KMMatrix[Community],ROW()-7,1)</f>
        <v>Kingston</v>
      </c>
    </row>
    <row r="34" spans="2:2" x14ac:dyDescent="0.25">
      <c r="B34" s="6" t="str">
        <f>INDEX(Table_KMMatrix[Community],ROW()-7,1)</f>
        <v xml:space="preserve">Kirkland Lake </v>
      </c>
    </row>
    <row r="35" spans="2:2" x14ac:dyDescent="0.25">
      <c r="B35" s="6" t="str">
        <f>INDEX(Table_KMMatrix[Community],ROW()-7,1)</f>
        <v xml:space="preserve">Lac Seul F.N. </v>
      </c>
    </row>
    <row r="36" spans="2:2" x14ac:dyDescent="0.25">
      <c r="B36" s="6" t="str">
        <f>INDEX(Table_KMMatrix[Community],ROW()-7,1)</f>
        <v xml:space="preserve">Little Current </v>
      </c>
    </row>
    <row r="37" spans="2:2" x14ac:dyDescent="0.25">
      <c r="B37" s="6" t="str">
        <f>INDEX(Table_KMMatrix[Community],ROW()-7,1)</f>
        <v>London</v>
      </c>
    </row>
    <row r="38" spans="2:2" x14ac:dyDescent="0.25">
      <c r="B38" s="6" t="str">
        <f>INDEX(Table_KMMatrix[Community],ROW()-7,1)</f>
        <v xml:space="preserve">Manitowaning </v>
      </c>
    </row>
    <row r="39" spans="2:2" x14ac:dyDescent="0.25">
      <c r="B39" s="6" t="str">
        <f>INDEX(Table_KMMatrix[Community],ROW()-7,1)</f>
        <v xml:space="preserve">Marathon </v>
      </c>
    </row>
    <row r="40" spans="2:2" x14ac:dyDescent="0.25">
      <c r="B40" s="6" t="str">
        <f>INDEX(Table_KMMatrix[Community],ROW()-7,1)</f>
        <v xml:space="preserve">Matheson </v>
      </c>
    </row>
    <row r="41" spans="2:2" x14ac:dyDescent="0.25">
      <c r="B41" s="6" t="str">
        <f>INDEX(Table_KMMatrix[Community],ROW()-7,1)</f>
        <v xml:space="preserve">Mattagami Lake F.N. </v>
      </c>
    </row>
    <row r="42" spans="2:2" x14ac:dyDescent="0.25">
      <c r="B42" s="6" t="str">
        <f>INDEX(Table_KMMatrix[Community],ROW()-7,1)</f>
        <v xml:space="preserve">Mattawa </v>
      </c>
    </row>
    <row r="43" spans="2:2" x14ac:dyDescent="0.25">
      <c r="B43" s="6" t="str">
        <f>INDEX(Table_KMMatrix[Community],ROW()-7,1)</f>
        <v xml:space="preserve">M'Chigeeng F.N. </v>
      </c>
    </row>
    <row r="44" spans="2:2" x14ac:dyDescent="0.25">
      <c r="B44" s="6" t="str">
        <f>INDEX(Table_KMMatrix[Community],ROW()-7,1)</f>
        <v>Midland</v>
      </c>
    </row>
    <row r="45" spans="2:2" x14ac:dyDescent="0.25">
      <c r="B45" s="6" t="str">
        <f>INDEX(Table_KMMatrix[Community],ROW()-7,1)</f>
        <v xml:space="preserve">Mindemoya </v>
      </c>
    </row>
    <row r="46" spans="2:2" x14ac:dyDescent="0.25">
      <c r="B46" s="6" t="str">
        <f>INDEX(Table_KMMatrix[Community],ROW()-7,1)</f>
        <v>New Liskeard</v>
      </c>
    </row>
    <row r="47" spans="2:2" x14ac:dyDescent="0.25">
      <c r="B47" s="6" t="str">
        <f>INDEX(Table_KMMatrix[Community],ROW()-7,1)</f>
        <v xml:space="preserve">Nipigon </v>
      </c>
    </row>
    <row r="48" spans="2:2" x14ac:dyDescent="0.25">
      <c r="B48" s="6" t="str">
        <f>INDEX(Table_KMMatrix[Community],ROW()-7,1)</f>
        <v xml:space="preserve">Nipissing F.N. </v>
      </c>
    </row>
    <row r="49" spans="2:2" x14ac:dyDescent="0.25">
      <c r="B49" s="6" t="str">
        <f>INDEX(Table_KMMatrix[Community],ROW()-7,1)</f>
        <v xml:space="preserve">North Bay </v>
      </c>
    </row>
    <row r="50" spans="2:2" x14ac:dyDescent="0.25">
      <c r="B50" s="6" t="str">
        <f>INDEX(Table_KMMatrix[Community],ROW()-7,1)</f>
        <v>Ojibways of the Pic River F.N.</v>
      </c>
    </row>
    <row r="51" spans="2:2" x14ac:dyDescent="0.25">
      <c r="B51" s="6" t="str">
        <f>INDEX(Table_KMMatrix[Community],ROW()-7,1)</f>
        <v>Ottawa</v>
      </c>
    </row>
    <row r="52" spans="2:2" x14ac:dyDescent="0.25">
      <c r="B52" s="6" t="str">
        <f>INDEX(Table_KMMatrix[Community],ROW()-7,1)</f>
        <v>Parry Sound</v>
      </c>
    </row>
    <row r="53" spans="2:2" x14ac:dyDescent="0.25">
      <c r="B53" s="6" t="str">
        <f>INDEX(Table_KMMatrix[Community],ROW()-7,1)</f>
        <v xml:space="preserve">Powassan </v>
      </c>
    </row>
    <row r="54" spans="2:2" x14ac:dyDescent="0.25">
      <c r="B54" s="6" t="str">
        <f>INDEX(Table_KMMatrix[Community],ROW()-7,1)</f>
        <v xml:space="preserve">Rainy River </v>
      </c>
    </row>
    <row r="55" spans="2:2" x14ac:dyDescent="0.25">
      <c r="B55" s="6" t="str">
        <f>INDEX(Table_KMMatrix[Community],ROW()-7,1)</f>
        <v xml:space="preserve">Red Lake </v>
      </c>
    </row>
    <row r="56" spans="2:2" x14ac:dyDescent="0.25">
      <c r="B56" s="6" t="str">
        <f>INDEX(Table_KMMatrix[Community],ROW()-7,1)</f>
        <v xml:space="preserve">Richards Landing </v>
      </c>
    </row>
    <row r="57" spans="2:2" x14ac:dyDescent="0.25">
      <c r="B57" s="6" t="str">
        <f>INDEX(Table_KMMatrix[Community],ROW()-7,1)</f>
        <v xml:space="preserve">Sagamok Anishinabek </v>
      </c>
    </row>
    <row r="58" spans="2:2" x14ac:dyDescent="0.25">
      <c r="B58" s="6" t="str">
        <f>INDEX(Table_KMMatrix[Community],ROW()-7,1)</f>
        <v xml:space="preserve">Sault Ste. Marie </v>
      </c>
    </row>
    <row r="59" spans="2:2" x14ac:dyDescent="0.25">
      <c r="B59" s="6" t="str">
        <f>INDEX(Table_KMMatrix[Community],ROW()-7,1)</f>
        <v xml:space="preserve">Serpent River F.N. </v>
      </c>
    </row>
    <row r="60" spans="2:2" x14ac:dyDescent="0.25">
      <c r="B60" s="6" t="str">
        <f>INDEX(Table_KMMatrix[Community],ROW()-7,1)</f>
        <v>Sioux Lookout</v>
      </c>
    </row>
    <row r="61" spans="2:2" x14ac:dyDescent="0.25">
      <c r="B61" s="6" t="str">
        <f>INDEX(Table_KMMatrix[Community],ROW()-7,1)</f>
        <v xml:space="preserve">Smooth Rock Falls </v>
      </c>
    </row>
    <row r="62" spans="2:2" x14ac:dyDescent="0.25">
      <c r="B62" s="6" t="str">
        <f>INDEX(Table_KMMatrix[Community],ROW()-7,1)</f>
        <v xml:space="preserve">Sturgeon Falls </v>
      </c>
    </row>
    <row r="63" spans="2:2" x14ac:dyDescent="0.25">
      <c r="B63" s="6" t="str">
        <f>INDEX(Table_KMMatrix[Community],ROW()-7,1)</f>
        <v xml:space="preserve">Sudbury </v>
      </c>
    </row>
    <row r="64" spans="2:2" x14ac:dyDescent="0.25">
      <c r="B64" s="6" t="str">
        <f>INDEX(Table_KMMatrix[Community],ROW()-7,1)</f>
        <v xml:space="preserve">Temagami </v>
      </c>
    </row>
    <row r="65" spans="2:2" x14ac:dyDescent="0.25">
      <c r="B65" s="6" t="str">
        <f>INDEX(Table_KMMatrix[Community],ROW()-7,1)</f>
        <v xml:space="preserve">Temagami F.N. </v>
      </c>
    </row>
    <row r="66" spans="2:2" x14ac:dyDescent="0.25">
      <c r="B66" s="6" t="str">
        <f>INDEX(Table_KMMatrix[Community],ROW()-7,1)</f>
        <v>Temiskaming Shores</v>
      </c>
    </row>
    <row r="67" spans="2:2" x14ac:dyDescent="0.25">
      <c r="B67" s="6" t="str">
        <f>INDEX(Table_KMMatrix[Community],ROW()-7,1)</f>
        <v xml:space="preserve">Terrace Bay </v>
      </c>
    </row>
    <row r="68" spans="2:2" x14ac:dyDescent="0.25">
      <c r="B68" s="6" t="str">
        <f>INDEX(Table_KMMatrix[Community],ROW()-7,1)</f>
        <v xml:space="preserve">Thessalon </v>
      </c>
    </row>
    <row r="69" spans="2:2" x14ac:dyDescent="0.25">
      <c r="B69" s="6" t="str">
        <f>INDEX(Table_KMMatrix[Community],ROW()-7,1)</f>
        <v>Thunder Bay</v>
      </c>
    </row>
    <row r="70" spans="2:2" x14ac:dyDescent="0.25">
      <c r="B70" s="6" t="str">
        <f>INDEX(Table_KMMatrix[Community],ROW()-7,1)</f>
        <v xml:space="preserve">Timmins </v>
      </c>
    </row>
    <row r="71" spans="2:2" x14ac:dyDescent="0.25">
      <c r="B71" s="6" t="str">
        <f>INDEX(Table_KMMatrix[Community],ROW()-7,1)</f>
        <v>Toronto</v>
      </c>
    </row>
    <row r="72" spans="2:2" x14ac:dyDescent="0.25">
      <c r="B72" s="6" t="str">
        <f>INDEX(Table_KMMatrix[Community],ROW()-7,1)</f>
        <v xml:space="preserve">Wawa </v>
      </c>
    </row>
    <row r="73" spans="2:2" x14ac:dyDescent="0.25">
      <c r="B73" s="6" t="str">
        <f>INDEX(Table_KMMatrix[Community],ROW()-7,1)</f>
        <v xml:space="preserve">Whitefish Lake F.N. </v>
      </c>
    </row>
    <row r="74" spans="2:2" x14ac:dyDescent="0.25">
      <c r="B74" s="6" t="str">
        <f>INDEX(Table_KMMatrix[Community],ROW()-7,1)</f>
        <v xml:space="preserve">Whitefish River F.N. </v>
      </c>
    </row>
  </sheetData>
  <sheetProtection password="EDC4" sheet="1" objects="1" scenarios="1"/>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12"/>
  <sheetViews>
    <sheetView workbookViewId="0"/>
  </sheetViews>
  <sheetFormatPr defaultRowHeight="15" x14ac:dyDescent="0.25"/>
  <cols>
    <col min="1" max="1" width="9.28515625" customWidth="1"/>
    <col min="2" max="2" width="13.28515625" customWidth="1"/>
    <col min="3" max="3" width="13.42578125" customWidth="1"/>
    <col min="4" max="4" width="17.140625" customWidth="1"/>
    <col min="6" max="6" width="20.7109375" bestFit="1" customWidth="1"/>
  </cols>
  <sheetData>
    <row r="1" spans="2:4" ht="21" x14ac:dyDescent="0.35">
      <c r="B1" s="351" t="s">
        <v>16</v>
      </c>
      <c r="C1" s="352"/>
      <c r="D1" s="353"/>
    </row>
    <row r="2" spans="2:4" x14ac:dyDescent="0.25">
      <c r="B2" s="1"/>
      <c r="C2" s="2"/>
      <c r="D2" s="2"/>
    </row>
    <row r="3" spans="2:4" x14ac:dyDescent="0.25">
      <c r="B3" s="1"/>
      <c r="C3" s="3" t="s">
        <v>15</v>
      </c>
      <c r="D3" s="55">
        <f>SUM(Table_MealMax[Meal Maximum])</f>
        <v>75</v>
      </c>
    </row>
    <row r="4" spans="2:4" ht="4.5" customHeight="1" x14ac:dyDescent="0.25">
      <c r="B4" s="1"/>
      <c r="C4" s="2"/>
      <c r="D4" s="2"/>
    </row>
    <row r="5" spans="2:4" x14ac:dyDescent="0.25">
      <c r="B5" s="2" t="s">
        <v>13</v>
      </c>
      <c r="C5" s="2" t="s">
        <v>12</v>
      </c>
      <c r="D5" s="2" t="s">
        <v>14</v>
      </c>
    </row>
    <row r="6" spans="2:4" x14ac:dyDescent="0.25">
      <c r="B6" s="2" t="s">
        <v>5</v>
      </c>
      <c r="C6" s="2" t="s">
        <v>9</v>
      </c>
      <c r="D6" s="54">
        <v>16</v>
      </c>
    </row>
    <row r="7" spans="2:4" x14ac:dyDescent="0.25">
      <c r="B7" s="2" t="s">
        <v>6</v>
      </c>
      <c r="C7" s="2" t="s">
        <v>10</v>
      </c>
      <c r="D7" s="54">
        <v>17</v>
      </c>
    </row>
    <row r="8" spans="2:4" x14ac:dyDescent="0.25">
      <c r="B8" s="2" t="s">
        <v>7</v>
      </c>
      <c r="C8" s="2" t="s">
        <v>11</v>
      </c>
      <c r="D8" s="54">
        <v>42</v>
      </c>
    </row>
    <row r="10" spans="2:4" x14ac:dyDescent="0.25">
      <c r="C10" s="31" t="s">
        <v>219</v>
      </c>
      <c r="D10">
        <v>16</v>
      </c>
    </row>
    <row r="11" spans="2:4" x14ac:dyDescent="0.25">
      <c r="C11" s="31" t="s">
        <v>220</v>
      </c>
      <c r="D11">
        <v>17</v>
      </c>
    </row>
    <row r="12" spans="2:4" x14ac:dyDescent="0.25">
      <c r="C12" s="31" t="s">
        <v>221</v>
      </c>
      <c r="D12">
        <v>42</v>
      </c>
    </row>
  </sheetData>
  <sheetProtection password="EDC4" sheet="1" objects="1" scenarios="1" selectLockedCells="1" selectUnlockedCells="1"/>
  <mergeCells count="1">
    <mergeCell ref="B1:D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52"/>
  <sheetViews>
    <sheetView workbookViewId="0"/>
  </sheetViews>
  <sheetFormatPr defaultRowHeight="15" x14ac:dyDescent="0.25"/>
  <cols>
    <col min="2" max="2" width="35.28515625" bestFit="1" customWidth="1"/>
    <col min="3" max="3" width="31.42578125" style="32" bestFit="1" customWidth="1"/>
    <col min="4" max="4" width="20.140625" bestFit="1" customWidth="1"/>
    <col min="5" max="5" width="58.7109375" bestFit="1" customWidth="1"/>
    <col min="6" max="6" width="18.85546875" style="32" bestFit="1" customWidth="1"/>
    <col min="7" max="7" width="31.42578125" style="32" bestFit="1" customWidth="1"/>
    <col min="8" max="8" width="20.28515625" bestFit="1" customWidth="1"/>
    <col min="9" max="13" width="20.28515625" style="32" customWidth="1"/>
    <col min="16" max="16" width="31.42578125" bestFit="1" customWidth="1"/>
    <col min="17" max="17" width="13.5703125" customWidth="1"/>
  </cols>
  <sheetData>
    <row r="1" spans="2:13" ht="21" x14ac:dyDescent="0.35">
      <c r="B1" s="362" t="s">
        <v>41</v>
      </c>
      <c r="C1" s="362"/>
      <c r="D1" s="362"/>
      <c r="E1" s="362"/>
      <c r="F1" s="362"/>
      <c r="G1" s="362"/>
      <c r="H1" s="363"/>
      <c r="I1" s="74"/>
      <c r="J1" s="24"/>
      <c r="K1" s="24"/>
      <c r="L1" s="24"/>
      <c r="M1" s="24"/>
    </row>
    <row r="3" spans="2:13" x14ac:dyDescent="0.25">
      <c r="B3" s="4" t="s">
        <v>46</v>
      </c>
      <c r="C3" s="67"/>
    </row>
    <row r="4" spans="2:13" x14ac:dyDescent="0.25">
      <c r="C4" s="32" t="s">
        <v>896</v>
      </c>
      <c r="D4" t="s">
        <v>896</v>
      </c>
      <c r="E4" t="s">
        <v>896</v>
      </c>
      <c r="F4" s="32" t="s">
        <v>896</v>
      </c>
      <c r="G4" s="32" t="s">
        <v>895</v>
      </c>
      <c r="H4" t="s">
        <v>218</v>
      </c>
      <c r="I4" s="32" t="s">
        <v>218</v>
      </c>
      <c r="J4" s="32" t="s">
        <v>218</v>
      </c>
      <c r="K4" s="32" t="s">
        <v>218</v>
      </c>
      <c r="L4" s="32" t="s">
        <v>217</v>
      </c>
      <c r="M4" s="32" t="s">
        <v>217</v>
      </c>
    </row>
    <row r="5" spans="2:13" x14ac:dyDescent="0.25">
      <c r="B5" s="6" t="s">
        <v>213</v>
      </c>
      <c r="C5" s="6" t="s">
        <v>149</v>
      </c>
      <c r="D5" s="6" t="s">
        <v>43</v>
      </c>
      <c r="E5" s="6" t="s">
        <v>42</v>
      </c>
      <c r="F5" s="6" t="s">
        <v>322</v>
      </c>
      <c r="G5" s="6" t="s">
        <v>216</v>
      </c>
      <c r="H5" s="6" t="s">
        <v>210</v>
      </c>
      <c r="I5" s="6" t="s">
        <v>567</v>
      </c>
      <c r="J5" s="6" t="s">
        <v>565</v>
      </c>
      <c r="K5" s="6" t="s">
        <v>566</v>
      </c>
      <c r="L5" s="6" t="s">
        <v>568</v>
      </c>
      <c r="M5" s="6" t="s">
        <v>569</v>
      </c>
    </row>
    <row r="6" spans="2:13" x14ac:dyDescent="0.25">
      <c r="B6" s="57" t="str">
        <f>Table_Expenses[[#This Row],[Class]]&amp;"-"&amp;Table_Expenses[[#This Row],[Expenses]]</f>
        <v>Accomm-Hotel/Motel</v>
      </c>
      <c r="C6" s="57">
        <v>1</v>
      </c>
      <c r="D6" s="6" t="s">
        <v>343</v>
      </c>
      <c r="E6" s="6" t="s">
        <v>345</v>
      </c>
      <c r="F6" s="6" t="s">
        <v>5</v>
      </c>
      <c r="G6" s="6" t="str">
        <f>VLOOKUP(Table_Expenses[[#This Row],[Summary Pot '#]],Table_SummaryPots[],MATCH(Table_SummaryPots[[#Headers],[Summary Pots]],Table_SummaryPots[#Headers],0),FALSE)</f>
        <v>Transportation &amp; Accommodation</v>
      </c>
      <c r="H6" s="6" t="s">
        <v>211</v>
      </c>
      <c r="I6" s="6" t="b">
        <v>0</v>
      </c>
      <c r="J6" s="6" t="b">
        <v>0</v>
      </c>
      <c r="K6" s="6" t="b">
        <v>0</v>
      </c>
      <c r="L6" s="6" t="b">
        <f>IF(Table_Expenses[[#This Row],[Receipt or Mileage]]="Receipt",TRUE,FALSE)</f>
        <v>1</v>
      </c>
      <c r="M6" s="6" t="b">
        <f>NOT(Table_Expenses[[#This Row],[ReceiptRequired]])</f>
        <v>0</v>
      </c>
    </row>
    <row r="7" spans="2:13" x14ac:dyDescent="0.25">
      <c r="B7" s="57" t="str">
        <f>Table_Expenses[[#This Row],[Class]]&amp;"-"&amp;Table_Expenses[[#This Row],[Expenses]]</f>
        <v>Accomm-Private Res.</v>
      </c>
      <c r="C7" s="57">
        <v>2</v>
      </c>
      <c r="D7" s="6" t="s">
        <v>348</v>
      </c>
      <c r="E7" s="6" t="s">
        <v>345</v>
      </c>
      <c r="F7" s="6" t="s">
        <v>5</v>
      </c>
      <c r="G7" s="6" t="str">
        <f>VLOOKUP(Table_Expenses[[#This Row],[Summary Pot '#]],Table_SummaryPots[],MATCH(Table_SummaryPots[[#Headers],[Summary Pots]],Table_SummaryPots[#Headers],0),FALSE)</f>
        <v>Transportation &amp; Accommodation</v>
      </c>
      <c r="H7" s="6" t="s">
        <v>211</v>
      </c>
      <c r="I7" s="6" t="b">
        <v>1</v>
      </c>
      <c r="J7" s="6" t="b">
        <v>0</v>
      </c>
      <c r="K7" s="6" t="b">
        <v>0</v>
      </c>
      <c r="L7" s="6" t="b">
        <f>IF(Table_Expenses[[#This Row],[Receipt or Mileage]]="Receipt",TRUE,FALSE)</f>
        <v>1</v>
      </c>
      <c r="M7" s="6" t="b">
        <f>NOT(Table_Expenses[[#This Row],[ReceiptRequired]])</f>
        <v>0</v>
      </c>
    </row>
    <row r="8" spans="2:13" x14ac:dyDescent="0.25">
      <c r="B8" s="57" t="str">
        <f>Table_Expenses[[#This Row],[Class]]&amp;"-"&amp;Table_Expenses[[#This Row],[Expenses]]</f>
        <v>Accomm-Other</v>
      </c>
      <c r="C8" s="57">
        <v>3</v>
      </c>
      <c r="D8" s="6" t="s">
        <v>38</v>
      </c>
      <c r="E8" s="6" t="s">
        <v>345</v>
      </c>
      <c r="F8" s="6" t="s">
        <v>5</v>
      </c>
      <c r="G8" s="6" t="str">
        <f>VLOOKUP(Table_Expenses[[#This Row],[Summary Pot '#]],Table_SummaryPots[],MATCH(Table_SummaryPots[[#Headers],[Summary Pots]],Table_SummaryPots[#Headers],0),FALSE)</f>
        <v>Transportation &amp; Accommodation</v>
      </c>
      <c r="H8" s="6" t="s">
        <v>211</v>
      </c>
      <c r="I8" s="6" t="b">
        <v>1</v>
      </c>
      <c r="J8" s="6" t="b">
        <v>0</v>
      </c>
      <c r="K8" s="6" t="b">
        <v>0</v>
      </c>
      <c r="L8" s="6" t="b">
        <f>IF(Table_Expenses[[#This Row],[Receipt or Mileage]]="Receipt",TRUE,FALSE)</f>
        <v>1</v>
      </c>
      <c r="M8" s="6" t="b">
        <f>NOT(Table_Expenses[[#This Row],[ReceiptRequired]])</f>
        <v>0</v>
      </c>
    </row>
    <row r="9" spans="2:13" x14ac:dyDescent="0.25">
      <c r="B9" s="57" t="str">
        <f>Table_Expenses[[#This Row],[Class]]&amp;"-"&amp;Table_Expenses[[#This Row],[Expenses]]</f>
        <v>Trans-Airfare</v>
      </c>
      <c r="C9" s="57">
        <v>4</v>
      </c>
      <c r="D9" s="6" t="s">
        <v>29</v>
      </c>
      <c r="E9" s="6" t="s">
        <v>347</v>
      </c>
      <c r="F9" s="6" t="s">
        <v>5</v>
      </c>
      <c r="G9" s="6" t="str">
        <f>VLOOKUP(Table_Expenses[[#This Row],[Summary Pot '#]],Table_SummaryPots[],MATCH(Table_SummaryPots[[#Headers],[Summary Pots]],Table_SummaryPots[#Headers],0),FALSE)</f>
        <v>Transportation &amp; Accommodation</v>
      </c>
      <c r="H9" s="6" t="s">
        <v>211</v>
      </c>
      <c r="I9" s="6" t="b">
        <v>0</v>
      </c>
      <c r="J9" s="6" t="b">
        <v>1</v>
      </c>
      <c r="K9" s="6" t="b">
        <v>1</v>
      </c>
      <c r="L9" s="6" t="b">
        <f>IF(Table_Expenses[[#This Row],[Receipt or Mileage]]="Receipt",TRUE,FALSE)</f>
        <v>1</v>
      </c>
      <c r="M9" s="6" t="b">
        <f>NOT(Table_Expenses[[#This Row],[ReceiptRequired]])</f>
        <v>0</v>
      </c>
    </row>
    <row r="10" spans="2:13" s="32" customFormat="1" x14ac:dyDescent="0.25">
      <c r="B10" s="58" t="str">
        <f>Table_Expenses[[#This Row],[Class]]&amp;"-"&amp;Table_Expenses[[#This Row],[Expenses]]</f>
        <v>Trans-Baggage Fee</v>
      </c>
      <c r="C10" s="57">
        <v>5</v>
      </c>
      <c r="D10" s="6" t="s">
        <v>931</v>
      </c>
      <c r="E10" s="6" t="s">
        <v>347</v>
      </c>
      <c r="F10" s="6" t="s">
        <v>5</v>
      </c>
      <c r="G10" s="20" t="str">
        <f>VLOOKUP(Table_Expenses[[#This Row],[Summary Pot '#]],Table_SummaryPots[],MATCH(Table_SummaryPots[[#Headers],[Summary Pots]],Table_SummaryPots[#Headers],0),FALSE)</f>
        <v>Transportation &amp; Accommodation</v>
      </c>
      <c r="H10" s="6" t="s">
        <v>211</v>
      </c>
      <c r="I10" s="6" t="b">
        <v>0</v>
      </c>
      <c r="J10" s="6" t="b">
        <v>0</v>
      </c>
      <c r="K10" s="6" t="b">
        <v>0</v>
      </c>
      <c r="L10" s="20" t="b">
        <f>IF(Table_Expenses[[#This Row],[Receipt or Mileage]]="Receipt",TRUE,FALSE)</f>
        <v>1</v>
      </c>
      <c r="M10" s="20" t="b">
        <f>NOT(Table_Expenses[[#This Row],[ReceiptRequired]])</f>
        <v>0</v>
      </c>
    </row>
    <row r="11" spans="2:13" x14ac:dyDescent="0.25">
      <c r="B11" s="57" t="str">
        <f>Table_Expenses[[#This Row],[Class]]&amp;"-"&amp;Table_Expenses[[#This Row],[Expenses]]</f>
        <v>Trans-Rental Vehicle</v>
      </c>
      <c r="C11" s="57">
        <v>6</v>
      </c>
      <c r="D11" s="6" t="s">
        <v>30</v>
      </c>
      <c r="E11" s="6" t="s">
        <v>347</v>
      </c>
      <c r="F11" s="6" t="s">
        <v>5</v>
      </c>
      <c r="G11" s="6" t="str">
        <f>VLOOKUP(Table_Expenses[[#This Row],[Summary Pot '#]],Table_SummaryPots[],MATCH(Table_SummaryPots[[#Headers],[Summary Pots]],Table_SummaryPots[#Headers],0),FALSE)</f>
        <v>Transportation &amp; Accommodation</v>
      </c>
      <c r="H11" s="6" t="s">
        <v>211</v>
      </c>
      <c r="I11" s="6" t="b">
        <v>0</v>
      </c>
      <c r="J11" s="6" t="b">
        <v>1</v>
      </c>
      <c r="K11" s="6" t="b">
        <v>1</v>
      </c>
      <c r="L11" s="6" t="b">
        <f>IF(Table_Expenses[[#This Row],[Receipt or Mileage]]="Receipt",TRUE,FALSE)</f>
        <v>1</v>
      </c>
      <c r="M11" s="6" t="b">
        <f>NOT(Table_Expenses[[#This Row],[ReceiptRequired]])</f>
        <v>0</v>
      </c>
    </row>
    <row r="12" spans="2:13" x14ac:dyDescent="0.25">
      <c r="B12" s="57" t="str">
        <f>Table_Expenses[[#This Row],[Class]]&amp;"-"&amp;Table_Expenses[[#This Row],[Expenses]]</f>
        <v>Trans-Fuel</v>
      </c>
      <c r="C12" s="57">
        <v>7</v>
      </c>
      <c r="D12" s="6" t="s">
        <v>31</v>
      </c>
      <c r="E12" s="6" t="s">
        <v>347</v>
      </c>
      <c r="F12" s="6" t="s">
        <v>5</v>
      </c>
      <c r="G12" s="6" t="str">
        <f>VLOOKUP(Table_Expenses[[#This Row],[Summary Pot '#]],Table_SummaryPots[],MATCH(Table_SummaryPots[[#Headers],[Summary Pots]],Table_SummaryPots[#Headers],0),FALSE)</f>
        <v>Transportation &amp; Accommodation</v>
      </c>
      <c r="H12" s="6" t="s">
        <v>211</v>
      </c>
      <c r="I12" s="6" t="b">
        <v>0</v>
      </c>
      <c r="J12" s="6" t="b">
        <v>1</v>
      </c>
      <c r="K12" s="6" t="b">
        <v>1</v>
      </c>
      <c r="L12" s="6" t="b">
        <f>IF(Table_Expenses[[#This Row],[Receipt or Mileage]]="Receipt",TRUE,FALSE)</f>
        <v>1</v>
      </c>
      <c r="M12" s="6" t="b">
        <f>NOT(Table_Expenses[[#This Row],[ReceiptRequired]])</f>
        <v>0</v>
      </c>
    </row>
    <row r="13" spans="2:13" x14ac:dyDescent="0.25">
      <c r="B13" s="57" t="str">
        <f>Table_Expenses[[#This Row],[Class]]&amp;"-"&amp;Table_Expenses[[#This Row],[Expenses]]</f>
        <v>Trans-Taxi</v>
      </c>
      <c r="C13" s="57">
        <v>8</v>
      </c>
      <c r="D13" s="6" t="s">
        <v>33</v>
      </c>
      <c r="E13" s="6" t="s">
        <v>347</v>
      </c>
      <c r="F13" s="6" t="s">
        <v>5</v>
      </c>
      <c r="G13" s="6" t="str">
        <f>VLOOKUP(Table_Expenses[[#This Row],[Summary Pot '#]],Table_SummaryPots[],MATCH(Table_SummaryPots[[#Headers],[Summary Pots]],Table_SummaryPots[#Headers],0),FALSE)</f>
        <v>Transportation &amp; Accommodation</v>
      </c>
      <c r="H13" s="6" t="s">
        <v>211</v>
      </c>
      <c r="I13" s="6" t="b">
        <v>0</v>
      </c>
      <c r="J13" s="6" t="b">
        <v>1</v>
      </c>
      <c r="K13" s="6" t="b">
        <v>1</v>
      </c>
      <c r="L13" s="6" t="b">
        <f>IF(Table_Expenses[[#This Row],[Receipt or Mileage]]="Receipt",TRUE,FALSE)</f>
        <v>1</v>
      </c>
      <c r="M13" s="6" t="b">
        <f>NOT(Table_Expenses[[#This Row],[ReceiptRequired]])</f>
        <v>0</v>
      </c>
    </row>
    <row r="14" spans="2:13" x14ac:dyDescent="0.25">
      <c r="B14" s="57" t="str">
        <f>Table_Expenses[[#This Row],[Class]]&amp;"-"&amp;Table_Expenses[[#This Row],[Expenses]]</f>
        <v>Trans-Mileage</v>
      </c>
      <c r="C14" s="57">
        <v>9</v>
      </c>
      <c r="D14" s="6" t="s">
        <v>32</v>
      </c>
      <c r="E14" s="6" t="s">
        <v>347</v>
      </c>
      <c r="F14" s="6" t="s">
        <v>5</v>
      </c>
      <c r="G14" s="6" t="str">
        <f>VLOOKUP(Table_Expenses[[#This Row],[Summary Pot '#]],Table_SummaryPots[],MATCH(Table_SummaryPots[[#Headers],[Summary Pots]],Table_SummaryPots[#Headers],0),FALSE)</f>
        <v>Transportation &amp; Accommodation</v>
      </c>
      <c r="H14" s="6" t="s">
        <v>32</v>
      </c>
      <c r="I14" s="6" t="b">
        <v>0</v>
      </c>
      <c r="J14" s="6" t="b">
        <v>1</v>
      </c>
      <c r="K14" s="6" t="b">
        <v>1</v>
      </c>
      <c r="L14" s="6" t="b">
        <f>IF(Table_Expenses[[#This Row],[Receipt or Mileage]]="Receipt",TRUE,FALSE)</f>
        <v>0</v>
      </c>
      <c r="M14" s="6" t="b">
        <f>NOT(Table_Expenses[[#This Row],[ReceiptRequired]])</f>
        <v>1</v>
      </c>
    </row>
    <row r="15" spans="2:13" x14ac:dyDescent="0.25">
      <c r="B15" s="58" t="str">
        <f>Table_Expenses[[#This Row],[Class]]&amp;"-"&amp;Table_Expenses[[#This Row],[Expenses]]</f>
        <v>Trans-Max Mileage</v>
      </c>
      <c r="C15" s="58">
        <v>10</v>
      </c>
      <c r="D15" s="6" t="s">
        <v>349</v>
      </c>
      <c r="E15" s="6" t="s">
        <v>347</v>
      </c>
      <c r="F15" s="6" t="s">
        <v>5</v>
      </c>
      <c r="G15" s="20" t="str">
        <f>VLOOKUP(Table_Expenses[[#This Row],[Summary Pot '#]],Table_SummaryPots[],MATCH(Table_SummaryPots[[#Headers],[Summary Pots]],Table_SummaryPots[#Headers],0),FALSE)</f>
        <v>Transportation &amp; Accommodation</v>
      </c>
      <c r="H15" s="6" t="s">
        <v>211</v>
      </c>
      <c r="I15" s="6" t="b">
        <v>1</v>
      </c>
      <c r="J15" s="6" t="b">
        <v>1</v>
      </c>
      <c r="K15" s="6" t="b">
        <v>1</v>
      </c>
      <c r="L15" s="20" t="b">
        <f>IF(Table_Expenses[[#This Row],[Receipt or Mileage]]="Receipt",TRUE,FALSE)</f>
        <v>1</v>
      </c>
      <c r="M15" s="20" t="b">
        <f>NOT(Table_Expenses[[#This Row],[ReceiptRequired]])</f>
        <v>0</v>
      </c>
    </row>
    <row r="16" spans="2:13" x14ac:dyDescent="0.25">
      <c r="B16" s="57" t="str">
        <f>Table_Expenses[[#This Row],[Class]]&amp;"-"&amp;Table_Expenses[[#This Row],[Expenses]]</f>
        <v>Trans-Parking</v>
      </c>
      <c r="C16" s="57">
        <v>11</v>
      </c>
      <c r="D16" s="6" t="s">
        <v>36</v>
      </c>
      <c r="E16" s="6" t="s">
        <v>347</v>
      </c>
      <c r="F16" s="6" t="s">
        <v>5</v>
      </c>
      <c r="G16" s="6" t="str">
        <f>VLOOKUP(Table_Expenses[[#This Row],[Summary Pot '#]],Table_SummaryPots[],MATCH(Table_SummaryPots[[#Headers],[Summary Pots]],Table_SummaryPots[#Headers],0),FALSE)</f>
        <v>Transportation &amp; Accommodation</v>
      </c>
      <c r="H16" s="6" t="s">
        <v>211</v>
      </c>
      <c r="I16" s="6" t="b">
        <v>0</v>
      </c>
      <c r="J16" s="6" t="b">
        <v>0</v>
      </c>
      <c r="K16" s="6" t="b">
        <v>0</v>
      </c>
      <c r="L16" s="6" t="b">
        <f>IF(Table_Expenses[[#This Row],[Receipt or Mileage]]="Receipt",TRUE,FALSE)</f>
        <v>1</v>
      </c>
      <c r="M16" s="6" t="b">
        <f>NOT(Table_Expenses[[#This Row],[ReceiptRequired]])</f>
        <v>0</v>
      </c>
    </row>
    <row r="17" spans="2:13" s="32" customFormat="1" x14ac:dyDescent="0.25">
      <c r="B17" s="57" t="str">
        <f>Table_Expenses[[#This Row],[Class]]&amp;"-"&amp;Table_Expenses[[#This Row],[Expenses]]</f>
        <v>Trans-Bus</v>
      </c>
      <c r="C17" s="57">
        <v>12</v>
      </c>
      <c r="D17" s="6" t="s">
        <v>34</v>
      </c>
      <c r="E17" s="6" t="s">
        <v>347</v>
      </c>
      <c r="F17" s="6" t="s">
        <v>5</v>
      </c>
      <c r="G17" s="6" t="str">
        <f>VLOOKUP(Table_Expenses[[#This Row],[Summary Pot '#]],Table_SummaryPots[],MATCH(Table_SummaryPots[[#Headers],[Summary Pots]],Table_SummaryPots[#Headers],0),FALSE)</f>
        <v>Transportation &amp; Accommodation</v>
      </c>
      <c r="H17" s="6" t="s">
        <v>211</v>
      </c>
      <c r="I17" s="6" t="b">
        <v>0</v>
      </c>
      <c r="J17" s="6" t="b">
        <v>1</v>
      </c>
      <c r="K17" s="6" t="b">
        <v>1</v>
      </c>
      <c r="L17" s="6" t="b">
        <f>IF(Table_Expenses[[#This Row],[Receipt or Mileage]]="Receipt",TRUE,FALSE)</f>
        <v>1</v>
      </c>
      <c r="M17" s="6" t="b">
        <f>NOT(Table_Expenses[[#This Row],[ReceiptRequired]])</f>
        <v>0</v>
      </c>
    </row>
    <row r="18" spans="2:13" x14ac:dyDescent="0.25">
      <c r="B18" s="57" t="str">
        <f>Table_Expenses[[#This Row],[Class]]&amp;"-"&amp;Table_Expenses[[#This Row],[Expenses]]</f>
        <v>Trans-Public</v>
      </c>
      <c r="C18" s="57">
        <v>13</v>
      </c>
      <c r="D18" s="6" t="s">
        <v>344</v>
      </c>
      <c r="E18" s="6" t="s">
        <v>347</v>
      </c>
      <c r="F18" s="6" t="s">
        <v>5</v>
      </c>
      <c r="G18" s="6" t="str">
        <f>VLOOKUP(Table_Expenses[[#This Row],[Summary Pot '#]],Table_SummaryPots[],MATCH(Table_SummaryPots[[#Headers],[Summary Pots]],Table_SummaryPots[#Headers],0),FALSE)</f>
        <v>Transportation &amp; Accommodation</v>
      </c>
      <c r="H18" s="6" t="s">
        <v>211</v>
      </c>
      <c r="I18" s="6" t="b">
        <v>0</v>
      </c>
      <c r="J18" s="6" t="b">
        <v>0</v>
      </c>
      <c r="K18" s="6" t="b">
        <v>0</v>
      </c>
      <c r="L18" s="6" t="b">
        <f>IF(Table_Expenses[[#This Row],[Receipt or Mileage]]="Receipt",TRUE,FALSE)</f>
        <v>1</v>
      </c>
      <c r="M18" s="6" t="b">
        <f>NOT(Table_Expenses[[#This Row],[ReceiptRequired]])</f>
        <v>0</v>
      </c>
    </row>
    <row r="19" spans="2:13" x14ac:dyDescent="0.25">
      <c r="B19" s="57" t="str">
        <f>Table_Expenses[[#This Row],[Class]]&amp;"-"&amp;Table_Expenses[[#This Row],[Expenses]]</f>
        <v>Trans-Train</v>
      </c>
      <c r="C19" s="57">
        <v>14</v>
      </c>
      <c r="D19" s="6" t="s">
        <v>35</v>
      </c>
      <c r="E19" s="6" t="s">
        <v>347</v>
      </c>
      <c r="F19" s="6" t="s">
        <v>5</v>
      </c>
      <c r="G19" s="6" t="str">
        <f>VLOOKUP(Table_Expenses[[#This Row],[Summary Pot '#]],Table_SummaryPots[],MATCH(Table_SummaryPots[[#Headers],[Summary Pots]],Table_SummaryPots[#Headers],0),FALSE)</f>
        <v>Transportation &amp; Accommodation</v>
      </c>
      <c r="H19" s="6" t="s">
        <v>211</v>
      </c>
      <c r="I19" s="6" t="b">
        <v>0</v>
      </c>
      <c r="J19" s="6" t="b">
        <v>1</v>
      </c>
      <c r="K19" s="6" t="b">
        <v>1</v>
      </c>
      <c r="L19" s="6" t="b">
        <f>IF(Table_Expenses[[#This Row],[Receipt or Mileage]]="Receipt",TRUE,FALSE)</f>
        <v>1</v>
      </c>
      <c r="M19" s="6" t="b">
        <f>NOT(Table_Expenses[[#This Row],[ReceiptRequired]])</f>
        <v>0</v>
      </c>
    </row>
    <row r="20" spans="2:13" x14ac:dyDescent="0.25">
      <c r="B20" s="57" t="str">
        <f>Table_Expenses[[#This Row],[Class]]&amp;"-"&amp;Table_Expenses[[#This Row],[Expenses]]</f>
        <v>Trans-Other</v>
      </c>
      <c r="C20" s="57">
        <v>15</v>
      </c>
      <c r="D20" s="6" t="s">
        <v>38</v>
      </c>
      <c r="E20" s="6" t="s">
        <v>347</v>
      </c>
      <c r="F20" s="6" t="s">
        <v>5</v>
      </c>
      <c r="G20" s="6" t="str">
        <f>VLOOKUP(Table_Expenses[[#This Row],[Summary Pot '#]],Table_SummaryPots[],MATCH(Table_SummaryPots[[#Headers],[Summary Pots]],Table_SummaryPots[#Headers],0),FALSE)</f>
        <v>Transportation &amp; Accommodation</v>
      </c>
      <c r="H20" s="6" t="s">
        <v>211</v>
      </c>
      <c r="I20" s="6" t="b">
        <v>1</v>
      </c>
      <c r="J20" s="6" t="b">
        <v>0</v>
      </c>
      <c r="K20" s="6" t="b">
        <v>0</v>
      </c>
      <c r="L20" s="6" t="b">
        <f>IF(Table_Expenses[[#This Row],[Receipt or Mileage]]="Receipt",TRUE,FALSE)</f>
        <v>1</v>
      </c>
      <c r="M20" s="6" t="b">
        <f>NOT(Table_Expenses[[#This Row],[ReceiptRequired]])</f>
        <v>0</v>
      </c>
    </row>
    <row r="21" spans="2:13" x14ac:dyDescent="0.25">
      <c r="B21" s="57" t="str">
        <f>Table_Expenses[[#This Row],[Class]]&amp;"-"&amp;Table_Expenses[[#This Row],[Expenses]]</f>
        <v>Reg-Conference</v>
      </c>
      <c r="C21" s="57">
        <v>16</v>
      </c>
      <c r="D21" s="6" t="s">
        <v>44</v>
      </c>
      <c r="E21" s="6" t="s">
        <v>346</v>
      </c>
      <c r="F21" s="6" t="s">
        <v>324</v>
      </c>
      <c r="G21" s="6" t="str">
        <f>VLOOKUP(Table_Expenses[[#This Row],[Summary Pot '#]],Table_SummaryPots[],MATCH(Table_SummaryPots[[#Headers],[Summary Pots]],Table_SummaryPots[#Headers],0),FALSE)</f>
        <v>Registration</v>
      </c>
      <c r="H21" s="6" t="s">
        <v>211</v>
      </c>
      <c r="I21" s="6" t="b">
        <v>0</v>
      </c>
      <c r="J21" s="6" t="b">
        <v>0</v>
      </c>
      <c r="K21" s="6" t="b">
        <v>0</v>
      </c>
      <c r="L21" s="6" t="b">
        <f>IF(Table_Expenses[[#This Row],[Receipt or Mileage]]="Receipt",TRUE,FALSE)</f>
        <v>1</v>
      </c>
      <c r="M21" s="6" t="b">
        <f>NOT(Table_Expenses[[#This Row],[ReceiptRequired]])</f>
        <v>0</v>
      </c>
    </row>
    <row r="22" spans="2:13" x14ac:dyDescent="0.25">
      <c r="B22" s="58" t="str">
        <f>Table_Expenses[[#This Row],[Class]]&amp;"-"&amp;Table_Expenses[[#This Row],[Expenses]]</f>
        <v>Reg-Course</v>
      </c>
      <c r="C22" s="58">
        <v>17</v>
      </c>
      <c r="D22" s="6" t="s">
        <v>45</v>
      </c>
      <c r="E22" s="6" t="s">
        <v>346</v>
      </c>
      <c r="F22" s="6" t="s">
        <v>324</v>
      </c>
      <c r="G22" s="6" t="str">
        <f>VLOOKUP(Table_Expenses[[#This Row],[Summary Pot '#]],Table_SummaryPots[],MATCH(Table_SummaryPots[[#Headers],[Summary Pots]],Table_SummaryPots[#Headers],0),FALSE)</f>
        <v>Registration</v>
      </c>
      <c r="H22" s="6" t="s">
        <v>211</v>
      </c>
      <c r="I22" s="6" t="b">
        <v>0</v>
      </c>
      <c r="J22" s="6" t="b">
        <v>0</v>
      </c>
      <c r="K22" s="6" t="b">
        <v>0</v>
      </c>
      <c r="L22" s="6" t="b">
        <f>IF(Table_Expenses[[#This Row],[Receipt or Mileage]]="Receipt",TRUE,FALSE)</f>
        <v>1</v>
      </c>
      <c r="M22" s="6" t="b">
        <f>NOT(Table_Expenses[[#This Row],[ReceiptRequired]])</f>
        <v>0</v>
      </c>
    </row>
    <row r="23" spans="2:13" x14ac:dyDescent="0.25">
      <c r="B23" s="58" t="str">
        <f>Table_Expenses[[#This Row],[Class]]&amp;"-"&amp;Table_Expenses[[#This Row],[Expenses]]</f>
        <v>Reg-Other</v>
      </c>
      <c r="C23" s="58">
        <v>18</v>
      </c>
      <c r="D23" s="6" t="s">
        <v>38</v>
      </c>
      <c r="E23" s="6" t="s">
        <v>346</v>
      </c>
      <c r="F23" s="6" t="s">
        <v>324</v>
      </c>
      <c r="G23" s="6" t="str">
        <f>VLOOKUP(Table_Expenses[[#This Row],[Summary Pot '#]],Table_SummaryPots[],MATCH(Table_SummaryPots[[#Headers],[Summary Pots]],Table_SummaryPots[#Headers],0),FALSE)</f>
        <v>Registration</v>
      </c>
      <c r="H23" s="6" t="s">
        <v>211</v>
      </c>
      <c r="I23" s="6" t="b">
        <v>1</v>
      </c>
      <c r="J23" s="6" t="b">
        <v>0</v>
      </c>
      <c r="K23" s="6" t="b">
        <v>0</v>
      </c>
      <c r="L23" s="6" t="b">
        <f>IF(Table_Expenses[[#This Row],[Receipt or Mileage]]="Receipt",TRUE,FALSE)</f>
        <v>1</v>
      </c>
      <c r="M23" s="6" t="b">
        <f>NOT(Table_Expenses[[#This Row],[ReceiptRequired]])</f>
        <v>0</v>
      </c>
    </row>
    <row r="24" spans="2:13" x14ac:dyDescent="0.25">
      <c r="B24" s="58" t="str">
        <f>Table_Expenses[[#This Row],[Class]]&amp;"-"&amp;Table_Expenses[[#This Row],[Expenses]]</f>
        <v>Meals-Groceries</v>
      </c>
      <c r="C24" s="57">
        <v>19</v>
      </c>
      <c r="D24" s="6" t="s">
        <v>932</v>
      </c>
      <c r="E24" s="6" t="s">
        <v>70</v>
      </c>
      <c r="F24" s="6" t="s">
        <v>323</v>
      </c>
      <c r="G24" s="20" t="str">
        <f>VLOOKUP(Table_Expenses[[#This Row],[Summary Pot '#]],Table_SummaryPots[],MATCH(Table_SummaryPots[[#Headers],[Summary Pots]],Table_SummaryPots[#Headers],0),FALSE)</f>
        <v>Meals &amp; Groceries</v>
      </c>
      <c r="H24" s="6" t="s">
        <v>211</v>
      </c>
      <c r="I24" s="6" t="b">
        <v>0</v>
      </c>
      <c r="J24" s="6" t="b">
        <v>0</v>
      </c>
      <c r="K24" s="6" t="b">
        <v>0</v>
      </c>
      <c r="L24" s="20" t="b">
        <f>IF(Table_Expenses[[#This Row],[Receipt or Mileage]]="Receipt",TRUE,FALSE)</f>
        <v>1</v>
      </c>
      <c r="M24" s="20" t="b">
        <f>NOT(Table_Expenses[[#This Row],[ReceiptRequired]])</f>
        <v>0</v>
      </c>
    </row>
    <row r="25" spans="2:13" x14ac:dyDescent="0.25">
      <c r="B25" s="58" t="str">
        <f>Table_Expenses[[#This Row],[Class]]&amp;"-"&amp;Table_Expenses[[#This Row],[Expenses]]</f>
        <v>Meals-Other</v>
      </c>
      <c r="C25" s="57">
        <v>20</v>
      </c>
      <c r="D25" s="6" t="s">
        <v>38</v>
      </c>
      <c r="E25" s="6" t="s">
        <v>70</v>
      </c>
      <c r="F25" s="6" t="s">
        <v>323</v>
      </c>
      <c r="G25" s="20" t="str">
        <f>VLOOKUP(Table_Expenses[[#This Row],[Summary Pot '#]],Table_SummaryPots[],MATCH(Table_SummaryPots[[#Headers],[Summary Pots]],Table_SummaryPots[#Headers],0),FALSE)</f>
        <v>Meals &amp; Groceries</v>
      </c>
      <c r="H25" s="6" t="s">
        <v>211</v>
      </c>
      <c r="I25" s="6" t="b">
        <v>1</v>
      </c>
      <c r="J25" s="6" t="b">
        <v>0</v>
      </c>
      <c r="K25" s="6" t="b">
        <v>0</v>
      </c>
      <c r="L25" s="20" t="b">
        <f>IF(Table_Expenses[[#This Row],[Receipt or Mileage]]="Receipt",TRUE,FALSE)</f>
        <v>1</v>
      </c>
      <c r="M25" s="20" t="b">
        <f>NOT(Table_Expenses[[#This Row],[ReceiptRequired]])</f>
        <v>0</v>
      </c>
    </row>
    <row r="28" spans="2:13" x14ac:dyDescent="0.25">
      <c r="B28" t="s">
        <v>215</v>
      </c>
      <c r="C28" t="s">
        <v>214</v>
      </c>
      <c r="D28" t="s">
        <v>838</v>
      </c>
    </row>
    <row r="29" spans="2:13" x14ac:dyDescent="0.25">
      <c r="B29" t="s">
        <v>323</v>
      </c>
      <c r="C29" t="s">
        <v>1122</v>
      </c>
      <c r="D29" s="91">
        <f ca="1">Total_Meals</f>
        <v>0</v>
      </c>
    </row>
    <row r="30" spans="2:13" x14ac:dyDescent="0.25">
      <c r="B30" t="s">
        <v>5</v>
      </c>
      <c r="C30" t="s">
        <v>491</v>
      </c>
      <c r="D30" s="91">
        <f ca="1">Total_TransAccomm</f>
        <v>0</v>
      </c>
    </row>
    <row r="31" spans="2:13" x14ac:dyDescent="0.25">
      <c r="B31" t="s">
        <v>324</v>
      </c>
      <c r="C31" t="s">
        <v>37</v>
      </c>
      <c r="D31" s="91">
        <f ca="1">Total_Registration</f>
        <v>0</v>
      </c>
    </row>
    <row r="32" spans="2:13" x14ac:dyDescent="0.25">
      <c r="C32"/>
    </row>
    <row r="33" spans="2:6" x14ac:dyDescent="0.25">
      <c r="C33" t="s">
        <v>840</v>
      </c>
      <c r="D33" s="91">
        <f ca="1">SUM($D$30,$D$31,$D$29-'Travel Expense Summary'!$Z$23)</f>
        <v>0</v>
      </c>
    </row>
    <row r="34" spans="2:6" x14ac:dyDescent="0.25">
      <c r="C34" t="s">
        <v>839</v>
      </c>
      <c r="D34" t="b">
        <f ca="1">$D$33=Total_Other</f>
        <v>1</v>
      </c>
    </row>
    <row r="35" spans="2:6" s="32" customFormat="1" x14ac:dyDescent="0.25"/>
    <row r="37" spans="2:6" x14ac:dyDescent="0.25">
      <c r="B37" t="s">
        <v>1132</v>
      </c>
    </row>
    <row r="38" spans="2:6" x14ac:dyDescent="0.25">
      <c r="B38" t="s">
        <v>1129</v>
      </c>
      <c r="C38" t="s">
        <v>1130</v>
      </c>
      <c r="D38" t="s">
        <v>1131</v>
      </c>
      <c r="E38" t="s">
        <v>1133</v>
      </c>
      <c r="F38" s="32" t="s">
        <v>1135</v>
      </c>
    </row>
    <row r="39" spans="2:6" x14ac:dyDescent="0.25">
      <c r="B39">
        <v>1</v>
      </c>
      <c r="C39" t="b">
        <f>IFERROR(VLOOKUP(INDEX(Other_ExpenseTypeArray,$B39,1),Table_Expenses[],MATCH(Table_Expenses[[#Headers],[ReceiptRequired]],Table_Expenses[#Headers],0),FALSE)=FALSE,FALSE)</f>
        <v>0</v>
      </c>
      <c r="D39" t="b">
        <f>IFERROR(VLOOKUP(INDEX(Other_ExpenseTypeArray,$B39,1),Table_Expenses[],MATCH(Table_Expenses[[#Headers],[KMRequired]],Table_Expenses[#Headers],0),FALSE)=FALSE,FALSE)</f>
        <v>0</v>
      </c>
      <c r="E39" s="32"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39"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0" spans="2:6" x14ac:dyDescent="0.25">
      <c r="B40">
        <v>2</v>
      </c>
      <c r="C40" t="b">
        <f>IFERROR(VLOOKUP(INDEX(Other_ExpenseTypeArray,$B40,1),Table_Expenses[],MATCH(Table_Expenses[[#Headers],[ReceiptRequired]],Table_Expenses[#Headers],0),FALSE)=FALSE,FALSE)</f>
        <v>0</v>
      </c>
      <c r="D40" t="b">
        <f>IFERROR(VLOOKUP(INDEX(Other_ExpenseTypeArray,$B40,1),Table_Expenses[],MATCH(Table_Expenses[[#Headers],[KMRequired]],Table_Expenses[#Headers],0),FALSE)=FALSE,FALSE)</f>
        <v>0</v>
      </c>
      <c r="E4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0"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1" spans="2:6" x14ac:dyDescent="0.25">
      <c r="B41">
        <v>3</v>
      </c>
      <c r="C41" t="b">
        <f>IFERROR(VLOOKUP(INDEX(Other_ExpenseTypeArray,$B41,1),Table_Expenses[],MATCH(Table_Expenses[[#Headers],[ReceiptRequired]],Table_Expenses[#Headers],0),FALSE)=FALSE,FALSE)</f>
        <v>0</v>
      </c>
      <c r="D41" t="b">
        <f>IFERROR(VLOOKUP(INDEX(Other_ExpenseTypeArray,$B41,1),Table_Expenses[],MATCH(Table_Expenses[[#Headers],[KMRequired]],Table_Expenses[#Headers],0),FALSE)=FALSE,FALSE)</f>
        <v>0</v>
      </c>
      <c r="E41"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1"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2" spans="2:6" x14ac:dyDescent="0.25">
      <c r="B42">
        <v>4</v>
      </c>
      <c r="C42" t="b">
        <f>IFERROR(VLOOKUP(INDEX(Other_ExpenseTypeArray,$B42,1),Table_Expenses[],MATCH(Table_Expenses[[#Headers],[ReceiptRequired]],Table_Expenses[#Headers],0),FALSE)=FALSE,FALSE)</f>
        <v>0</v>
      </c>
      <c r="D42" t="b">
        <f>IFERROR(VLOOKUP(INDEX(Other_ExpenseTypeArray,$B42,1),Table_Expenses[],MATCH(Table_Expenses[[#Headers],[KMRequired]],Table_Expenses[#Headers],0),FALSE)=FALSE,FALSE)</f>
        <v>0</v>
      </c>
      <c r="E42"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2"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3" spans="2:6" x14ac:dyDescent="0.25">
      <c r="B43">
        <v>5</v>
      </c>
      <c r="C43" t="b">
        <f>IFERROR(VLOOKUP(INDEX(Other_ExpenseTypeArray,$B43,1),Table_Expenses[],MATCH(Table_Expenses[[#Headers],[ReceiptRequired]],Table_Expenses[#Headers],0),FALSE)=FALSE,FALSE)</f>
        <v>0</v>
      </c>
      <c r="D43" t="b">
        <f>IFERROR(VLOOKUP(INDEX(Other_ExpenseTypeArray,$B43,1),Table_Expenses[],MATCH(Table_Expenses[[#Headers],[KMRequired]],Table_Expenses[#Headers],0),FALSE)=FALSE,FALSE)</f>
        <v>0</v>
      </c>
      <c r="E43"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3"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4" spans="2:6" x14ac:dyDescent="0.25">
      <c r="B44">
        <v>6</v>
      </c>
      <c r="C44" t="b">
        <f>IFERROR(VLOOKUP(INDEX(Other_ExpenseTypeArray,$B44,1),Table_Expenses[],MATCH(Table_Expenses[[#Headers],[ReceiptRequired]],Table_Expenses[#Headers],0),FALSE)=FALSE,FALSE)</f>
        <v>0</v>
      </c>
      <c r="D44" t="b">
        <f>IFERROR(VLOOKUP(INDEX(Other_ExpenseTypeArray,$B44,1),Table_Expenses[],MATCH(Table_Expenses[[#Headers],[KMRequired]],Table_Expenses[#Headers],0),FALSE)=FALSE,FALSE)</f>
        <v>0</v>
      </c>
      <c r="E44"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4"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5" spans="2:6" x14ac:dyDescent="0.25">
      <c r="B45">
        <v>7</v>
      </c>
      <c r="C45" t="b">
        <f>IFERROR(VLOOKUP(INDEX(Other_ExpenseTypeArray,$B45,1),Table_Expenses[],MATCH(Table_Expenses[[#Headers],[ReceiptRequired]],Table_Expenses[#Headers],0),FALSE)=FALSE,FALSE)</f>
        <v>0</v>
      </c>
      <c r="D45" t="b">
        <f>IFERROR(VLOOKUP(INDEX(Other_ExpenseTypeArray,$B45,1),Table_Expenses[],MATCH(Table_Expenses[[#Headers],[KMRequired]],Table_Expenses[#Headers],0),FALSE)=FALSE,FALSE)</f>
        <v>0</v>
      </c>
      <c r="E45"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5"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6" spans="2:6" x14ac:dyDescent="0.25">
      <c r="B46">
        <v>8</v>
      </c>
      <c r="C46" t="b">
        <f>IFERROR(VLOOKUP(INDEX(Other_ExpenseTypeArray,$B46,1),Table_Expenses[],MATCH(Table_Expenses[[#Headers],[ReceiptRequired]],Table_Expenses[#Headers],0),FALSE)=FALSE,FALSE)</f>
        <v>0</v>
      </c>
      <c r="D46" t="b">
        <f>IFERROR(VLOOKUP(INDEX(Other_ExpenseTypeArray,$B46,1),Table_Expenses[],MATCH(Table_Expenses[[#Headers],[KMRequired]],Table_Expenses[#Headers],0),FALSE)=FALSE,FALSE)</f>
        <v>0</v>
      </c>
      <c r="E46"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6"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7" spans="2:6" x14ac:dyDescent="0.25">
      <c r="B47">
        <v>9</v>
      </c>
      <c r="C47" t="b">
        <f>IFERROR(VLOOKUP(INDEX(Other_ExpenseTypeArray,$B47,1),Table_Expenses[],MATCH(Table_Expenses[[#Headers],[ReceiptRequired]],Table_Expenses[#Headers],0),FALSE)=FALSE,FALSE)</f>
        <v>0</v>
      </c>
      <c r="D47" t="b">
        <f>IFERROR(VLOOKUP(INDEX(Other_ExpenseTypeArray,$B47,1),Table_Expenses[],MATCH(Table_Expenses[[#Headers],[KMRequired]],Table_Expenses[#Headers],0),FALSE)=FALSE,FALSE)</f>
        <v>0</v>
      </c>
      <c r="E47"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7"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8" spans="2:6" x14ac:dyDescent="0.25">
      <c r="B48">
        <v>10</v>
      </c>
      <c r="C48" t="b">
        <f>IFERROR(VLOOKUP(INDEX(Other_ExpenseTypeArray,$B48,1),Table_Expenses[],MATCH(Table_Expenses[[#Headers],[ReceiptRequired]],Table_Expenses[#Headers],0),FALSE)=FALSE,FALSE)</f>
        <v>0</v>
      </c>
      <c r="D48" t="b">
        <f>IFERROR(VLOOKUP(INDEX(Other_ExpenseTypeArray,$B48,1),Table_Expenses[],MATCH(Table_Expenses[[#Headers],[KMRequired]],Table_Expenses[#Headers],0),FALSE)=FALSE,FALSE)</f>
        <v>0</v>
      </c>
      <c r="E48"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8"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9" spans="2:6" x14ac:dyDescent="0.25">
      <c r="B49">
        <v>11</v>
      </c>
      <c r="C49" t="b">
        <f>IFERROR(VLOOKUP(INDEX(Other_ExpenseTypeArray,$B49,1),Table_Expenses[],MATCH(Table_Expenses[[#Headers],[ReceiptRequired]],Table_Expenses[#Headers],0),FALSE)=FALSE,FALSE)</f>
        <v>0</v>
      </c>
      <c r="D49" t="b">
        <f>IFERROR(VLOOKUP(INDEX(Other_ExpenseTypeArray,$B49,1),Table_Expenses[],MATCH(Table_Expenses[[#Headers],[KMRequired]],Table_Expenses[#Headers],0),FALSE)=FALSE,FALSE)</f>
        <v>0</v>
      </c>
      <c r="E49"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9" s="32"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51" spans="2:6" x14ac:dyDescent="0.25">
      <c r="E51" s="140" t="s">
        <v>1136</v>
      </c>
      <c r="F51" s="140" t="s">
        <v>1134</v>
      </c>
    </row>
    <row r="52" spans="2:6" x14ac:dyDescent="0.25">
      <c r="E52" s="4" t="str">
        <f ca="1">CONCATENATE(E39,E40,E41,E42,E43,E44,E45,E46,E47,E48,E49)</f>
        <v/>
      </c>
      <c r="F52" s="4" t="str">
        <f ca="1">CONCATENATE(F39,F40,F41,F42,F43,F44,F45,F46,F47,F48,F49)</f>
        <v/>
      </c>
    </row>
  </sheetData>
  <sheetProtection password="EDC4" sheet="1" objects="1" scenarios="1" selectLockedCells="1" selectUnlockedCells="1"/>
  <mergeCells count="1">
    <mergeCell ref="B1:H1"/>
  </mergeCells>
  <pageMargins left="0.7" right="0.7" top="0.75" bottom="0.75" header="0.3" footer="0.3"/>
  <tableParts count="3">
    <tablePart r:id="rId1"/>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43"/>
  <sheetViews>
    <sheetView topLeftCell="A4" workbookViewId="0">
      <selection activeCell="A4" sqref="A4"/>
    </sheetView>
  </sheetViews>
  <sheetFormatPr defaultRowHeight="15" x14ac:dyDescent="0.25"/>
  <cols>
    <col min="2" max="2" width="13" customWidth="1"/>
    <col min="3" max="3" width="34.5703125" bestFit="1" customWidth="1"/>
    <col min="4" max="4" width="12.28515625" style="32" bestFit="1" customWidth="1"/>
    <col min="5" max="5" width="88.7109375" bestFit="1" customWidth="1"/>
    <col min="6" max="6" width="28.7109375" bestFit="1" customWidth="1"/>
  </cols>
  <sheetData>
    <row r="1" spans="2:5" ht="21" x14ac:dyDescent="0.35">
      <c r="B1" s="360" t="s">
        <v>935</v>
      </c>
      <c r="C1" s="361"/>
      <c r="D1" s="361"/>
      <c r="E1" s="361"/>
    </row>
    <row r="2" spans="2:5" s="32" customFormat="1" x14ac:dyDescent="0.25"/>
    <row r="3" spans="2:5" s="32" customFormat="1" x14ac:dyDescent="0.25">
      <c r="B3" s="32" t="s">
        <v>953</v>
      </c>
    </row>
    <row r="5" spans="2:5" x14ac:dyDescent="0.25">
      <c r="B5" s="7" t="s">
        <v>936</v>
      </c>
      <c r="C5" s="7" t="s">
        <v>170</v>
      </c>
      <c r="D5" s="7" t="s">
        <v>952</v>
      </c>
      <c r="E5" s="7" t="s">
        <v>951</v>
      </c>
    </row>
    <row r="6" spans="2:5" s="32" customFormat="1" x14ac:dyDescent="0.25">
      <c r="B6" s="143">
        <v>0</v>
      </c>
      <c r="C6" s="7" t="s">
        <v>1155</v>
      </c>
      <c r="D6" s="7" t="b">
        <v>0</v>
      </c>
      <c r="E6" s="141" t="str">
        <f>CONCATENATE(IF(Table_SectionNames[[#This Row],[Include '#?]]=FALSE,"",TEXT(Table_SectionNames[[#This Row],[Section '#]],"#. ")),Table_SectionNames[[#This Row],[Name]])</f>
        <v>Sheet Errors</v>
      </c>
    </row>
    <row r="7" spans="2:5" x14ac:dyDescent="0.25">
      <c r="B7" s="143">
        <v>1</v>
      </c>
      <c r="C7" s="7" t="s">
        <v>938</v>
      </c>
      <c r="D7" s="7" t="b">
        <v>1</v>
      </c>
      <c r="E7" s="7" t="str">
        <f>CONCATENATE(IF(Table_SectionNames[[#This Row],[Include '#?]]=FALSE,"",TEXT(Table_SectionNames[[#This Row],[Section '#]],"#. ")),Table_SectionNames[[#This Row],[Name]])</f>
        <v>1. Payee Details</v>
      </c>
    </row>
    <row r="8" spans="2:5" x14ac:dyDescent="0.25">
      <c r="B8" s="143">
        <v>2</v>
      </c>
      <c r="C8" s="7" t="s">
        <v>939</v>
      </c>
      <c r="D8" s="7" t="b">
        <v>1</v>
      </c>
      <c r="E8" s="7" t="str">
        <f>CONCATENATE(IF(Table_SectionNames[[#This Row],[Include '#?]]=FALSE,"",TEXT(Table_SectionNames[[#This Row],[Section '#]],"#. ")),Table_SectionNames[[#This Row],[Name]])</f>
        <v>2. Travel Details</v>
      </c>
    </row>
    <row r="9" spans="2:5" x14ac:dyDescent="0.25">
      <c r="B9" s="143">
        <v>3</v>
      </c>
      <c r="C9" s="7" t="s">
        <v>940</v>
      </c>
      <c r="D9" s="7" t="b">
        <v>1</v>
      </c>
      <c r="E9" s="7" t="str">
        <f>CONCATENATE(IF(Table_SectionNames[[#This Row],[Include '#?]]=FALSE,"",TEXT(Table_SectionNames[[#This Row],[Section '#]],"#. ")),Table_SectionNames[[#This Row],[Name]])</f>
        <v>3. Claim Details</v>
      </c>
    </row>
    <row r="10" spans="2:5" x14ac:dyDescent="0.25">
      <c r="B10" s="143">
        <v>4</v>
      </c>
      <c r="C10" s="7" t="s">
        <v>941</v>
      </c>
      <c r="D10" s="7" t="b">
        <v>1</v>
      </c>
      <c r="E10" s="7" t="str">
        <f>CONCATENATE(IF(Table_SectionNames[[#This Row],[Include '#?]]=FALSE,"",TEXT(Table_SectionNames[[#This Row],[Section '#]],"#. ")),Table_SectionNames[[#This Row],[Name]])</f>
        <v>4. Travel Particulars</v>
      </c>
    </row>
    <row r="11" spans="2:5" x14ac:dyDescent="0.25">
      <c r="B11" s="143">
        <v>5</v>
      </c>
      <c r="C11" s="7" t="s">
        <v>942</v>
      </c>
      <c r="D11" s="7" t="b">
        <v>1</v>
      </c>
      <c r="E11" s="7" t="str">
        <f>CONCATENATE(IF(Table_SectionNames[[#This Row],[Include '#?]]=FALSE,"",TEXT(Table_SectionNames[[#This Row],[Section '#]],"#. ")),Table_SectionNames[[#This Row],[Name]])</f>
        <v>5. Contact (if different than 'Payee')</v>
      </c>
    </row>
    <row r="12" spans="2:5" x14ac:dyDescent="0.25">
      <c r="B12" s="143">
        <v>6</v>
      </c>
      <c r="C12" s="7" t="s">
        <v>70</v>
      </c>
      <c r="D12" s="7" t="b">
        <v>1</v>
      </c>
      <c r="E12" s="7" t="str">
        <f>CONCATENATE(IF(Table_SectionNames[[#This Row],[Include '#?]]=FALSE,"",TEXT(Table_SectionNames[[#This Row],[Section '#]],"#. ")),Table_SectionNames[[#This Row],[Name]])</f>
        <v>6. Meals</v>
      </c>
    </row>
    <row r="13" spans="2:5" x14ac:dyDescent="0.25">
      <c r="B13" s="143">
        <v>7</v>
      </c>
      <c r="C13" s="7" t="s">
        <v>490</v>
      </c>
      <c r="D13" s="7" t="b">
        <v>1</v>
      </c>
      <c r="E13" s="7" t="str">
        <f>CONCATENATE(IF(Table_SectionNames[[#This Row],[Include '#?]]=FALSE,"",TEXT(Table_SectionNames[[#This Row],[Section '#]],"#. ")),Table_SectionNames[[#This Row],[Name]])</f>
        <v>7. Other Expenses</v>
      </c>
    </row>
    <row r="14" spans="2:5" x14ac:dyDescent="0.25">
      <c r="B14" s="143">
        <v>8</v>
      </c>
      <c r="C14" s="7" t="s">
        <v>943</v>
      </c>
      <c r="D14" s="7" t="b">
        <v>1</v>
      </c>
      <c r="E14" s="7" t="str">
        <f>CONCATENATE(IF(Table_SectionNames[[#This Row],[Include '#?]]=FALSE,"",TEXT(Table_SectionNames[[#This Row],[Section '#]],"#. ")),Table_SectionNames[[#This Row],[Name]])</f>
        <v>8. Funding Maximum (if applicable)</v>
      </c>
    </row>
    <row r="15" spans="2:5" x14ac:dyDescent="0.25">
      <c r="B15" s="143">
        <v>9</v>
      </c>
      <c r="C15" s="7" t="s">
        <v>385</v>
      </c>
      <c r="D15" s="7" t="b">
        <v>1</v>
      </c>
      <c r="E15" s="7" t="str">
        <f>CONCATENATE(IF(Table_SectionNames[[#This Row],[Include '#?]]=FALSE,"",TEXT(Table_SectionNames[[#This Row],[Section '#]],"#. ")),Table_SectionNames[[#This Row],[Name]])</f>
        <v>9. Expense Summary</v>
      </c>
    </row>
    <row r="16" spans="2:5" x14ac:dyDescent="0.25">
      <c r="B16" s="143">
        <v>10</v>
      </c>
      <c r="C16" s="7" t="s">
        <v>177</v>
      </c>
      <c r="D16" s="7" t="b">
        <v>1</v>
      </c>
      <c r="E16" s="7" t="str">
        <f>CONCATENATE(IF(Table_SectionNames[[#This Row],[Include '#?]]=FALSE,"",TEXT(Table_SectionNames[[#This Row],[Section '#]],"#. ")),Table_SectionNames[[#This Row],[Name]])</f>
        <v>10. Claim Allocation</v>
      </c>
    </row>
    <row r="17" spans="2:9" x14ac:dyDescent="0.25">
      <c r="B17" s="143">
        <v>11</v>
      </c>
      <c r="C17" s="7" t="s">
        <v>80</v>
      </c>
      <c r="D17" s="7" t="b">
        <v>1</v>
      </c>
      <c r="E17" s="7" t="str">
        <f>CONCATENATE(IF(Table_SectionNames[[#This Row],[Include '#?]]=FALSE,"",TEXT(Table_SectionNames[[#This Row],[Section '#]],"#. ")),Table_SectionNames[[#This Row],[Name]])</f>
        <v>11. Authorization</v>
      </c>
    </row>
    <row r="18" spans="2:9" x14ac:dyDescent="0.25">
      <c r="B18" s="143">
        <v>12</v>
      </c>
      <c r="C18" s="7" t="s">
        <v>173</v>
      </c>
      <c r="D18" s="7" t="b">
        <v>0</v>
      </c>
      <c r="E18" s="7" t="str">
        <f>CONCATENATE(IF(Table_SectionNames[[#This Row],[Include '#?]]=FALSE,"",TEXT(Table_SectionNames[[#This Row],[Section '#]],"#. ")),Table_SectionNames[[#This Row],[Name]])</f>
        <v>Claim Status</v>
      </c>
    </row>
    <row r="19" spans="2:9" x14ac:dyDescent="0.25">
      <c r="B19" s="143">
        <v>13</v>
      </c>
      <c r="C19" s="7" t="s">
        <v>186</v>
      </c>
      <c r="D19" s="7" t="b">
        <v>0</v>
      </c>
      <c r="E19" s="7" t="str">
        <f>CONCATENATE(IF(Table_SectionNames[[#This Row],[Include '#?]]=FALSE,"",TEXT(Table_SectionNames[[#This Row],[Section '#]],"#. ")),Table_SectionNames[[#This Row],[Name]])</f>
        <v>HST</v>
      </c>
    </row>
    <row r="20" spans="2:9" s="32" customFormat="1" x14ac:dyDescent="0.25">
      <c r="B20" s="143">
        <v>90</v>
      </c>
      <c r="C20" s="7" t="s">
        <v>1160</v>
      </c>
      <c r="D20" s="7" t="b">
        <v>0</v>
      </c>
      <c r="E20" s="141" t="str">
        <f>CONCATENATE(IF(Table_SectionNames[[#This Row],[Include '#?]]=FALSE,"",TEXT(Table_SectionNames[[#This Row],[Section '#]],"#. ")),Table_SectionNames[[#This Row],[Name]])</f>
        <v>Submission Date</v>
      </c>
    </row>
    <row r="21" spans="2:9" s="32" customFormat="1" x14ac:dyDescent="0.25">
      <c r="B21" s="143">
        <v>98</v>
      </c>
      <c r="C21" s="7" t="s">
        <v>1158</v>
      </c>
      <c r="D21" s="7" t="b">
        <v>0</v>
      </c>
      <c r="E21" s="141" t="str">
        <f>CONCATENATE(IF(Table_SectionNames[[#This Row],[Include '#?]]=FALSE,"",TEXT(Table_SectionNames[[#This Row],[Section '#]],"#. ")),Table_SectionNames[[#This Row],[Name]])</f>
        <v>Milestone #1</v>
      </c>
    </row>
    <row r="22" spans="2:9" s="32" customFormat="1" x14ac:dyDescent="0.25">
      <c r="B22" s="143">
        <v>99</v>
      </c>
      <c r="C22" s="7" t="s">
        <v>1159</v>
      </c>
      <c r="D22" s="7" t="b">
        <v>0</v>
      </c>
      <c r="E22" s="141" t="str">
        <f>CONCATENATE(IF(Table_SectionNames[[#This Row],[Include '#?]]=FALSE,"",TEXT(Table_SectionNames[[#This Row],[Section '#]],"#. ")),Table_SectionNames[[#This Row],[Name]])</f>
        <v>Milestone #2</v>
      </c>
    </row>
    <row r="24" spans="2:9" ht="21" x14ac:dyDescent="0.35">
      <c r="B24" s="360" t="s">
        <v>961</v>
      </c>
      <c r="C24" s="361"/>
      <c r="D24" s="361"/>
      <c r="E24" s="361"/>
    </row>
    <row r="26" spans="2:9" x14ac:dyDescent="0.25">
      <c r="B26" t="s">
        <v>959</v>
      </c>
    </row>
    <row r="28" spans="2:9" x14ac:dyDescent="0.25">
      <c r="B28" t="s">
        <v>960</v>
      </c>
      <c r="C28" t="s">
        <v>150</v>
      </c>
      <c r="D28" s="32" t="s">
        <v>936</v>
      </c>
      <c r="E28" t="s">
        <v>81</v>
      </c>
      <c r="F28" s="32" t="s">
        <v>976</v>
      </c>
      <c r="G28" t="s">
        <v>962</v>
      </c>
    </row>
    <row r="29" spans="2:9" s="32" customFormat="1" x14ac:dyDescent="0.25">
      <c r="B29" s="142" t="b">
        <f ca="1">COUNTIFS(Table_ErrorList[Error Evaluation],TRUE,Table_ErrorList[Section '#],Table_ClaimStatus[[#This Row],[Section '#]])&gt;0</f>
        <v>0</v>
      </c>
      <c r="C29" s="32" t="s">
        <v>1156</v>
      </c>
      <c r="D29" s="144">
        <v>0</v>
      </c>
      <c r="E29" s="126" t="str">
        <f>IF(Table_ClaimStatus[[#This Row],[Manual Message]]="",CONCATENATE("Section ",VLOOKUP(Table_ClaimStatus[[#This Row],[Section '#]],Table_SectionNames[],MATCH(Table_SectionNames[[#Headers],[Section Header]],Table_SectionNames[#Headers],0))," in progress"),Table_ClaimStatus[[#This Row],[Manual Message]])</f>
        <v>Sheet errors exist</v>
      </c>
      <c r="F29" s="126" t="s">
        <v>1157</v>
      </c>
      <c r="G29" s="32" t="b">
        <v>1</v>
      </c>
    </row>
    <row r="30" spans="2:9" x14ac:dyDescent="0.25">
      <c r="B30" t="b">
        <f ca="1">COUNTIFS(Table_ErrorList[Error Evaluation],TRUE,Table_ErrorList[Section '#],Table_ClaimStatus[[#This Row],[Section '#]])&gt;0</f>
        <v>1</v>
      </c>
      <c r="C30" t="s">
        <v>963</v>
      </c>
      <c r="D30" s="144">
        <v>1</v>
      </c>
      <c r="E30" t="str">
        <f>IF(Table_ClaimStatus[[#This Row],[Manual Message]]="",CONCATENATE("Section ",VLOOKUP(Table_ClaimStatus[[#This Row],[Section '#]],Table_SectionNames[],MATCH(Table_SectionNames[[#Headers],[Section Header]],Table_SectionNames[#Headers],0))," in progress"),Table_ClaimStatus[[#This Row],[Manual Message]])</f>
        <v>Section 1. Payee Details in progress</v>
      </c>
      <c r="F30" s="32"/>
      <c r="G30" t="b">
        <v>1</v>
      </c>
      <c r="I30" s="11"/>
    </row>
    <row r="31" spans="2:9" x14ac:dyDescent="0.25">
      <c r="B31" t="b">
        <f ca="1">COUNTIFS(Table_ErrorList[Error Evaluation],TRUE,Table_ErrorList[Section '#],Table_ClaimStatus[[#This Row],[Section '#]])&gt;0</f>
        <v>1</v>
      </c>
      <c r="C31" t="s">
        <v>964</v>
      </c>
      <c r="D31" s="144">
        <v>2</v>
      </c>
      <c r="E31" t="str">
        <f>IF(Table_ClaimStatus[[#This Row],[Manual Message]]="",CONCATENATE("Section ",VLOOKUP(Table_ClaimStatus[[#This Row],[Section '#]],Table_SectionNames[],MATCH(Table_SectionNames[[#Headers],[Section Header]],Table_SectionNames[#Headers],0))," in progress"),Table_ClaimStatus[[#This Row],[Manual Message]])</f>
        <v>Section 2. Travel Details in progress</v>
      </c>
      <c r="F31" s="32"/>
      <c r="G31" s="32" t="b">
        <v>1</v>
      </c>
    </row>
    <row r="32" spans="2:9" x14ac:dyDescent="0.25">
      <c r="B32" t="b">
        <f ca="1">COUNTIFS(Table_ErrorList[Error Evaluation],TRUE,Table_ErrorList[Section '#],Table_ClaimStatus[[#This Row],[Section '#]])&gt;0</f>
        <v>0</v>
      </c>
      <c r="C32" t="s">
        <v>965</v>
      </c>
      <c r="D32" s="144">
        <v>3</v>
      </c>
      <c r="E32" s="126" t="str">
        <f>IF(Table_ClaimStatus[[#This Row],[Manual Message]]="",CONCATENATE("Section ",VLOOKUP(Table_ClaimStatus[[#This Row],[Section '#]],Table_SectionNames[],MATCH(Table_SectionNames[[#Headers],[Section Header]],Table_SectionNames[#Headers],0))," in progress"),Table_ClaimStatus[[#This Row],[Manual Message]])</f>
        <v>Section 3. Claim Details in progress</v>
      </c>
      <c r="F32" s="126"/>
      <c r="G32" s="32" t="b">
        <v>1</v>
      </c>
    </row>
    <row r="33" spans="2:10" x14ac:dyDescent="0.25">
      <c r="B33" t="b">
        <f ca="1">COUNTIFS(Table_ErrorList[Error Evaluation],TRUE,Table_ErrorList[Section '#],Table_ClaimStatus[[#This Row],[Section '#]])&gt;0</f>
        <v>1</v>
      </c>
      <c r="C33" t="s">
        <v>970</v>
      </c>
      <c r="D33" s="144">
        <v>4</v>
      </c>
      <c r="E33" s="126" t="str">
        <f>IF(Table_ClaimStatus[[#This Row],[Manual Message]]="",CONCATENATE("Section ",VLOOKUP(Table_ClaimStatus[[#This Row],[Section '#]],Table_SectionNames[],MATCH(Table_SectionNames[[#Headers],[Section Header]],Table_SectionNames[#Headers],0))," in progress"),Table_ClaimStatus[[#This Row],[Manual Message]])</f>
        <v>Section 4. Travel Particulars in progress</v>
      </c>
      <c r="F33" s="126"/>
      <c r="G33" s="32" t="b">
        <v>1</v>
      </c>
    </row>
    <row r="34" spans="2:10" x14ac:dyDescent="0.25">
      <c r="B34" t="b">
        <f ca="1">COUNTIFS(Table_ErrorList[Error Evaluation],TRUE,Table_ErrorList[Section '#],Table_ClaimStatus[[#This Row],[Section '#]])&gt;0</f>
        <v>0</v>
      </c>
      <c r="C34" t="s">
        <v>966</v>
      </c>
      <c r="D34" s="144">
        <v>5</v>
      </c>
      <c r="E34" s="126" t="str">
        <f>IF(Table_ClaimStatus[[#This Row],[Manual Message]]="",CONCATENATE("Section ",VLOOKUP(Table_ClaimStatus[[#This Row],[Section '#]],Table_SectionNames[],MATCH(Table_SectionNames[[#Headers],[Section Header]],Table_SectionNames[#Headers],0))," in progress"),Table_ClaimStatus[[#This Row],[Manual Message]])</f>
        <v>Section 5. Contact (if different than 'Payee') in progress</v>
      </c>
      <c r="F34" s="126"/>
      <c r="G34" s="32" t="b">
        <v>1</v>
      </c>
      <c r="J34" s="11"/>
    </row>
    <row r="35" spans="2:10" x14ac:dyDescent="0.25">
      <c r="B35" t="b">
        <f ca="1">COUNTIFS(Table_ErrorList[Error Evaluation],TRUE,Table_ErrorList[Section '#],Table_ClaimStatus[[#This Row],[Section '#]])&gt;0</f>
        <v>1</v>
      </c>
      <c r="C35" t="s">
        <v>971</v>
      </c>
      <c r="D35" s="144">
        <v>6</v>
      </c>
      <c r="E35" s="126" t="str">
        <f>IF(Table_ClaimStatus[[#This Row],[Manual Message]]="",CONCATENATE("Section ",VLOOKUP(Table_ClaimStatus[[#This Row],[Section '#]],Table_SectionNames[],MATCH(Table_SectionNames[[#Headers],[Section Header]],Table_SectionNames[#Headers],0))," in progress"),Table_ClaimStatus[[#This Row],[Manual Message]])</f>
        <v>Section 6. Meals in progress</v>
      </c>
      <c r="F35" s="126"/>
      <c r="G35" s="32" t="b">
        <v>1</v>
      </c>
    </row>
    <row r="36" spans="2:10" x14ac:dyDescent="0.25">
      <c r="B36" t="b">
        <f ca="1">COUNTIFS(Table_ErrorList[Error Evaluation],TRUE,Table_ErrorList[Section '#],Table_ClaimStatus[[#This Row],[Section '#]])&gt;0</f>
        <v>0</v>
      </c>
      <c r="C36" t="s">
        <v>972</v>
      </c>
      <c r="D36" s="144">
        <v>7</v>
      </c>
      <c r="E36" s="126" t="str">
        <f>IF(Table_ClaimStatus[[#This Row],[Manual Message]]="",CONCATENATE("Section ",VLOOKUP(Table_ClaimStatus[[#This Row],[Section '#]],Table_SectionNames[],MATCH(Table_SectionNames[[#Headers],[Section Header]],Table_SectionNames[#Headers],0))," in progress"),Table_ClaimStatus[[#This Row],[Manual Message]])</f>
        <v>Section 7. Other Expenses in progress</v>
      </c>
      <c r="F36" s="126"/>
      <c r="G36" s="32" t="b">
        <v>1</v>
      </c>
    </row>
    <row r="37" spans="2:10" s="32" customFormat="1" x14ac:dyDescent="0.25">
      <c r="B37" s="142" t="b">
        <f ca="1">COUNTIFS(Table_ErrorList[Error Evaluation],TRUE,Table_ErrorList[Section '#],Table_ClaimStatus[[#This Row],[Section '#]])&gt;0</f>
        <v>1</v>
      </c>
      <c r="C37" s="32" t="s">
        <v>1127</v>
      </c>
      <c r="D37" s="144">
        <v>90</v>
      </c>
      <c r="E37" s="126" t="str">
        <f>IF(Table_ClaimStatus[[#This Row],[Manual Message]]="",CONCATENATE("Section ",VLOOKUP(Table_ClaimStatus[[#This Row],[Section '#]],Table_SectionNames[],MATCH(Table_SectionNames[[#Headers],[Section Header]],Table_SectionNames[#Headers],0))," in progress"),Table_ClaimStatus[[#This Row],[Manual Message]])</f>
        <v>Submission Date is incomplete</v>
      </c>
      <c r="F37" s="126" t="s">
        <v>1127</v>
      </c>
      <c r="G37" s="32" t="b">
        <v>1</v>
      </c>
    </row>
    <row r="38" spans="2:10" s="32" customFormat="1" x14ac:dyDescent="0.25">
      <c r="B38" s="142" t="b">
        <f ca="1">COUNTIFS(Table_ErrorList[Error Evaluation],TRUE,Table_ErrorList[Section '#],Table_ClaimStatus[[#This Row],[Section '#]])&gt;0</f>
        <v>0</v>
      </c>
      <c r="C38" s="32" t="s">
        <v>974</v>
      </c>
      <c r="D38" s="144">
        <v>98</v>
      </c>
      <c r="E38" s="126" t="str">
        <f>IF(Table_ClaimStatus[[#This Row],[Manual Message]]="",CONCATENATE("Section ",VLOOKUP(Table_ClaimStatus[[#This Row],[Section '#]],Table_SectionNames[],MATCH(Table_SectionNames[[#Headers],[Section Header]],Table_SectionNames[#Headers],0))," in progress"),Table_ClaimStatus[[#This Row],[Manual Message]])</f>
        <v>Ready for review</v>
      </c>
      <c r="F38" s="126" t="s">
        <v>978</v>
      </c>
      <c r="G38" s="32" t="b">
        <v>0</v>
      </c>
    </row>
    <row r="39" spans="2:10" x14ac:dyDescent="0.25">
      <c r="B39" t="b">
        <f ca="1">COUNTIFS(Table_ErrorList[Error Evaluation],TRUE,Table_ErrorList[Section '#],Table_ClaimStatus[[#This Row],[Section '#]])&gt;0</f>
        <v>0</v>
      </c>
      <c r="C39" t="s">
        <v>967</v>
      </c>
      <c r="D39" s="144">
        <v>8</v>
      </c>
      <c r="E39" s="126" t="str">
        <f>IF(Table_ClaimStatus[[#This Row],[Manual Message]]="",CONCATENATE("Section ",VLOOKUP(Table_ClaimStatus[[#This Row],[Section '#]],Table_SectionNames[],MATCH(Table_SectionNames[[#Headers],[Section Header]],Table_SectionNames[#Headers],0))," in progress"),Table_ClaimStatus[[#This Row],[Manual Message]])</f>
        <v>Section 8. Funding Maximum (if applicable) in progress</v>
      </c>
      <c r="F39" s="126"/>
      <c r="G39" s="32" t="b">
        <v>1</v>
      </c>
    </row>
    <row r="40" spans="2:10" x14ac:dyDescent="0.25">
      <c r="B40" t="b">
        <f ca="1">COUNTIFS(Table_ErrorList[Error Evaluation],TRUE,Table_ErrorList[Section '#],Table_ClaimStatus[[#This Row],[Section '#]])&gt;0</f>
        <v>0</v>
      </c>
      <c r="C40" s="32" t="s">
        <v>973</v>
      </c>
      <c r="D40" s="144">
        <v>9</v>
      </c>
      <c r="E40" s="126" t="str">
        <f>IF(Table_ClaimStatus[[#This Row],[Manual Message]]="",CONCATENATE("Section ",VLOOKUP(Table_ClaimStatus[[#This Row],[Section '#]],Table_SectionNames[],MATCH(Table_SectionNames[[#Headers],[Section Header]],Table_SectionNames[#Headers],0))," in progress"),Table_ClaimStatus[[#This Row],[Manual Message]])</f>
        <v>Section 9. Expense Summary in progress</v>
      </c>
      <c r="F40" s="126"/>
      <c r="G40" s="32" t="b">
        <v>1</v>
      </c>
    </row>
    <row r="41" spans="2:10" x14ac:dyDescent="0.25">
      <c r="B41" t="b">
        <f ca="1">COUNTIFS(Table_ErrorList[Error Evaluation],TRUE,Table_ErrorList[Section '#],Table_ClaimStatus[[#This Row],[Section '#]])&gt;0</f>
        <v>0</v>
      </c>
      <c r="C41" t="s">
        <v>968</v>
      </c>
      <c r="D41" s="144">
        <v>10</v>
      </c>
      <c r="E41" s="126" t="str">
        <f>IF(Table_ClaimStatus[[#This Row],[Manual Message]]="",CONCATENATE("Section ",VLOOKUP(Table_ClaimStatus[[#This Row],[Section '#]],Table_SectionNames[],MATCH(Table_SectionNames[[#Headers],[Section Header]],Table_SectionNames[#Headers],0))," in progress"),Table_ClaimStatus[[#This Row],[Manual Message]])</f>
        <v>Section 10. Claim Allocation in progress</v>
      </c>
      <c r="F41" s="126"/>
      <c r="G41" s="32" t="b">
        <v>1</v>
      </c>
    </row>
    <row r="42" spans="2:10" x14ac:dyDescent="0.25">
      <c r="B42" t="b">
        <f ca="1">COUNTIFS(Table_ErrorList[Error Evaluation],TRUE,Table_ErrorList[Section '#],Table_ClaimStatus[[#This Row],[Section '#]])&gt;0</f>
        <v>0</v>
      </c>
      <c r="C42" t="s">
        <v>969</v>
      </c>
      <c r="D42" s="144">
        <v>11</v>
      </c>
      <c r="E42" s="126" t="str">
        <f>IF(Table_ClaimStatus[[#This Row],[Manual Message]]="",CONCATENATE("Section ",VLOOKUP(Table_ClaimStatus[[#This Row],[Section '#]],Table_SectionNames[],MATCH(Table_SectionNames[[#Headers],[Section Header]],Table_SectionNames[#Headers],0))," in progress"),Table_ClaimStatus[[#This Row],[Manual Message]])</f>
        <v>Section 11. Authorization in progress</v>
      </c>
      <c r="F42" s="126"/>
      <c r="G42" s="32" t="b">
        <v>1</v>
      </c>
    </row>
    <row r="43" spans="2:10" x14ac:dyDescent="0.25">
      <c r="B43" s="142" t="b">
        <f ca="1">COUNTIFS(Table_ErrorList[Error Evaluation],TRUE,Table_ErrorList[Section '#],Table_ClaimStatus[[#This Row],[Section '#]])&gt;0</f>
        <v>0</v>
      </c>
      <c r="C43" t="s">
        <v>975</v>
      </c>
      <c r="D43" s="144">
        <v>99</v>
      </c>
      <c r="E43" s="126" t="str">
        <f>IF(Table_ClaimStatus[[#This Row],[Manual Message]]="",CONCATENATE("Section ",VLOOKUP(Table_ClaimStatus[[#This Row],[Section '#]],Table_SectionNames[],MATCH(Table_SectionNames[[#Headers],[Section Header]],Table_SectionNames[#Headers],0))," in progress"),Table_ClaimStatus[[#This Row],[Manual Message]])</f>
        <v>Ready for authorization</v>
      </c>
      <c r="F43" s="126" t="s">
        <v>977</v>
      </c>
      <c r="G43" s="32" t="b">
        <v>0</v>
      </c>
    </row>
  </sheetData>
  <sheetProtection password="EDC4" sheet="1" objects="1" scenarios="1" selectLockedCells="1" selectUnlockedCells="1"/>
  <mergeCells count="2">
    <mergeCell ref="B1:E1"/>
    <mergeCell ref="B24:E24"/>
  </mergeCells>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198</vt:i4>
      </vt:variant>
    </vt:vector>
  </HeadingPairs>
  <TitlesOfParts>
    <vt:vector size="209" baseType="lpstr">
      <vt:lpstr>Travel Expense Summary</vt:lpstr>
      <vt:lpstr>Kilometer Matrix (Appendix F)</vt:lpstr>
      <vt:lpstr>Error List</vt:lpstr>
      <vt:lpstr>NAMED RANGES</vt:lpstr>
      <vt:lpstr>Particulars Validation</vt:lpstr>
      <vt:lpstr>Mileage Validation</vt:lpstr>
      <vt:lpstr>Meal Validation</vt:lpstr>
      <vt:lpstr>Expense Type Validation</vt:lpstr>
      <vt:lpstr>Claim Status Validation</vt:lpstr>
      <vt:lpstr>Text Summary</vt:lpstr>
      <vt:lpstr>Additions</vt:lpstr>
      <vt:lpstr>Authorization_SubmissionDate</vt:lpstr>
      <vt:lpstr>ClaimAllocation_Amount1</vt:lpstr>
      <vt:lpstr>ClaimAllocation_Amount2</vt:lpstr>
      <vt:lpstr>ClaimAllocation_Amount3</vt:lpstr>
      <vt:lpstr>ClaimAllocation_Amount4</vt:lpstr>
      <vt:lpstr>ClaimAllocation_AmountArray</vt:lpstr>
      <vt:lpstr>ClaimAllocation_GL1</vt:lpstr>
      <vt:lpstr>ClaimAllocation_GL2</vt:lpstr>
      <vt:lpstr>ClaimAllocation_GL3</vt:lpstr>
      <vt:lpstr>ClaimAllocation_GL4</vt:lpstr>
      <vt:lpstr>ClaimAllocation_GLArray</vt:lpstr>
      <vt:lpstr>ClaimStatus</vt:lpstr>
      <vt:lpstr>DefaultMileageRate</vt:lpstr>
      <vt:lpstr>Dropdown_AddressType</vt:lpstr>
      <vt:lpstr>Dropdown_ClaimType</vt:lpstr>
      <vt:lpstr>Dropdown_Expenses</vt:lpstr>
      <vt:lpstr>Dropdown_KMCentre</vt:lpstr>
      <vt:lpstr>Dropdown_KMCommunity</vt:lpstr>
      <vt:lpstr>Dropdown_NotSelectedValue</vt:lpstr>
      <vt:lpstr>Dropdown_PayeeType</vt:lpstr>
      <vt:lpstr>Dropdown_PaymentOptions</vt:lpstr>
      <vt:lpstr>Dropdown_Prefix</vt:lpstr>
      <vt:lpstr>Dropdown_ProvinceAbbr</vt:lpstr>
      <vt:lpstr>Dropdown_Purpose</vt:lpstr>
      <vt:lpstr>Dropdown_Range</vt:lpstr>
      <vt:lpstr>Dropdown_Requester</vt:lpstr>
      <vt:lpstr>Dropdown_SEctionNum</vt:lpstr>
      <vt:lpstr>Dropdown_SubmittingPortfolio</vt:lpstr>
      <vt:lpstr>Dropdown_TripType</vt:lpstr>
      <vt:lpstr>Dropdown_YesNo</vt:lpstr>
      <vt:lpstr>Error_OffsetRef</vt:lpstr>
      <vt:lpstr>ErrorHighlighter_ReferenceArray</vt:lpstr>
      <vt:lpstr>ErrorHighlighter_TrueArray</vt:lpstr>
      <vt:lpstr>Field01_Prefix</vt:lpstr>
      <vt:lpstr>Field02_FirstName</vt:lpstr>
      <vt:lpstr>Field03_LastName</vt:lpstr>
      <vt:lpstr>Field04_Address</vt:lpstr>
      <vt:lpstr>Field05_City</vt:lpstr>
      <vt:lpstr>Field06A_Province</vt:lpstr>
      <vt:lpstr>Field06B_PostalCode</vt:lpstr>
      <vt:lpstr>Field07A_AddressType</vt:lpstr>
      <vt:lpstr>Field07B_Email</vt:lpstr>
      <vt:lpstr>Field07C_DOB</vt:lpstr>
      <vt:lpstr>Field07D_Phone</vt:lpstr>
      <vt:lpstr>Field08_Portfolio</vt:lpstr>
      <vt:lpstr>Field09_PayeeType</vt:lpstr>
      <vt:lpstr>Field10_PaymentOption</vt:lpstr>
      <vt:lpstr>Field11_DepartureCity</vt:lpstr>
      <vt:lpstr>Field12_DestinationCity</vt:lpstr>
      <vt:lpstr>Field13_TravelScope</vt:lpstr>
      <vt:lpstr>Field14_TripType</vt:lpstr>
      <vt:lpstr>Field15_TravelStartDate</vt:lpstr>
      <vt:lpstr>Field16_TravelEndDate</vt:lpstr>
      <vt:lpstr>Field17_ClaimType</vt:lpstr>
      <vt:lpstr>Field18_TravelAdvanceAmount</vt:lpstr>
      <vt:lpstr>Field19_Purpose</vt:lpstr>
      <vt:lpstr>Field20_RequestedBy</vt:lpstr>
      <vt:lpstr>Field21_Description</vt:lpstr>
      <vt:lpstr>Field22_AddDetails</vt:lpstr>
      <vt:lpstr>Field23_ContactName</vt:lpstr>
      <vt:lpstr>Field24_ContactEmail</vt:lpstr>
      <vt:lpstr>Field25_ContactPhone</vt:lpstr>
      <vt:lpstr>Field30_MaximumAmount</vt:lpstr>
      <vt:lpstr>Field31_MaximumReason</vt:lpstr>
      <vt:lpstr>Form_Formulas</vt:lpstr>
      <vt:lpstr>HelpDialogue_FieldEntry</vt:lpstr>
      <vt:lpstr>HelpDialogue_Message</vt:lpstr>
      <vt:lpstr>Hide_KMFields</vt:lpstr>
      <vt:lpstr>HideReceiptFields</vt:lpstr>
      <vt:lpstr>HSTFedRebate</vt:lpstr>
      <vt:lpstr>HSTProvRebate</vt:lpstr>
      <vt:lpstr>HSTTotal</vt:lpstr>
      <vt:lpstr>Lookup_Error</vt:lpstr>
      <vt:lpstr>Lookup_ErrorHeaders</vt:lpstr>
      <vt:lpstr>Lookup_StatusCalc</vt:lpstr>
      <vt:lpstr>Lookup_StatusColour</vt:lpstr>
      <vt:lpstr>Meal_DatesArray</vt:lpstr>
      <vt:lpstr>MealMax_Breakfast</vt:lpstr>
      <vt:lpstr>MealMax_Dinner</vt:lpstr>
      <vt:lpstr>MealMax_Lunch</vt:lpstr>
      <vt:lpstr>Meals_Date01</vt:lpstr>
      <vt:lpstr>Meals_Date02</vt:lpstr>
      <vt:lpstr>Meals_Date03</vt:lpstr>
      <vt:lpstr>Meals_Date04</vt:lpstr>
      <vt:lpstr>Meals_Date05</vt:lpstr>
      <vt:lpstr>Meals_Date06</vt:lpstr>
      <vt:lpstr>Meals_Date07</vt:lpstr>
      <vt:lpstr>Meals_Date08</vt:lpstr>
      <vt:lpstr>Meals_Date09</vt:lpstr>
      <vt:lpstr>Meals_Date10</vt:lpstr>
      <vt:lpstr>Meals_DuplicateDates</vt:lpstr>
      <vt:lpstr>Meals_Receipts01</vt:lpstr>
      <vt:lpstr>Meals_Receipts02</vt:lpstr>
      <vt:lpstr>Meals_Receipts03</vt:lpstr>
      <vt:lpstr>Meals_Receipts04</vt:lpstr>
      <vt:lpstr>Meals_Receipts05</vt:lpstr>
      <vt:lpstr>Meals_Receipts06</vt:lpstr>
      <vt:lpstr>Meals_Receipts07</vt:lpstr>
      <vt:lpstr>Meals_Receipts08</vt:lpstr>
      <vt:lpstr>Meals_Receipts09</vt:lpstr>
      <vt:lpstr>Meals_Receipts10</vt:lpstr>
      <vt:lpstr>Other_DateArray</vt:lpstr>
      <vt:lpstr>Other_DescriptionArray</vt:lpstr>
      <vt:lpstr>Other_ExpenseTypeArray</vt:lpstr>
      <vt:lpstr>Other_FromArray</vt:lpstr>
      <vt:lpstr>Other_KMArray</vt:lpstr>
      <vt:lpstr>Other_ReceiptAmountArray</vt:lpstr>
      <vt:lpstr>Other_ToArray</vt:lpstr>
      <vt:lpstr>Other_TotalArray</vt:lpstr>
      <vt:lpstr>Others_Date01</vt:lpstr>
      <vt:lpstr>Others_Date02</vt:lpstr>
      <vt:lpstr>Others_Date03</vt:lpstr>
      <vt:lpstr>Others_Date04</vt:lpstr>
      <vt:lpstr>Others_Date05</vt:lpstr>
      <vt:lpstr>Others_Date06</vt:lpstr>
      <vt:lpstr>Others_Date07</vt:lpstr>
      <vt:lpstr>Others_Date08</vt:lpstr>
      <vt:lpstr>Others_Date09</vt:lpstr>
      <vt:lpstr>Others_Date10</vt:lpstr>
      <vt:lpstr>Others_Date11</vt:lpstr>
      <vt:lpstr>Others_Desc01</vt:lpstr>
      <vt:lpstr>Others_Desc02</vt:lpstr>
      <vt:lpstr>Others_Desc03</vt:lpstr>
      <vt:lpstr>Others_Desc04</vt:lpstr>
      <vt:lpstr>Others_Desc05</vt:lpstr>
      <vt:lpstr>Others_Desc06</vt:lpstr>
      <vt:lpstr>Others_Desc07</vt:lpstr>
      <vt:lpstr>Others_Desc08</vt:lpstr>
      <vt:lpstr>Others_Desc09</vt:lpstr>
      <vt:lpstr>Others_Desc10</vt:lpstr>
      <vt:lpstr>Others_Desc11</vt:lpstr>
      <vt:lpstr>Others_Expense01</vt:lpstr>
      <vt:lpstr>Others_Expense02</vt:lpstr>
      <vt:lpstr>Others_Expense03</vt:lpstr>
      <vt:lpstr>Others_Expense04</vt:lpstr>
      <vt:lpstr>Others_Expense05</vt:lpstr>
      <vt:lpstr>Others_Expense06</vt:lpstr>
      <vt:lpstr>Others_Expense07</vt:lpstr>
      <vt:lpstr>Others_Expense08</vt:lpstr>
      <vt:lpstr>Others_Expense09</vt:lpstr>
      <vt:lpstr>Others_Expense10</vt:lpstr>
      <vt:lpstr>Others_Expense11</vt:lpstr>
      <vt:lpstr>Others_From01</vt:lpstr>
      <vt:lpstr>Others_From02</vt:lpstr>
      <vt:lpstr>Others_From03</vt:lpstr>
      <vt:lpstr>Others_From04</vt:lpstr>
      <vt:lpstr>Others_From05</vt:lpstr>
      <vt:lpstr>Others_From06</vt:lpstr>
      <vt:lpstr>Others_From07</vt:lpstr>
      <vt:lpstr>Others_From08</vt:lpstr>
      <vt:lpstr>Others_From09</vt:lpstr>
      <vt:lpstr>Others_From10</vt:lpstr>
      <vt:lpstr>Others_From11</vt:lpstr>
      <vt:lpstr>Others_KM01</vt:lpstr>
      <vt:lpstr>Others_KM02</vt:lpstr>
      <vt:lpstr>Others_KM03</vt:lpstr>
      <vt:lpstr>Others_KM04</vt:lpstr>
      <vt:lpstr>Others_KM05</vt:lpstr>
      <vt:lpstr>Others_KM06</vt:lpstr>
      <vt:lpstr>Others_KM07</vt:lpstr>
      <vt:lpstr>Others_KM08</vt:lpstr>
      <vt:lpstr>Others_KM09</vt:lpstr>
      <vt:lpstr>Others_KM10</vt:lpstr>
      <vt:lpstr>Others_KM11</vt:lpstr>
      <vt:lpstr>Others_Receipt01</vt:lpstr>
      <vt:lpstr>Others_Receipt02</vt:lpstr>
      <vt:lpstr>Others_Receipt03</vt:lpstr>
      <vt:lpstr>Others_Receipt04</vt:lpstr>
      <vt:lpstr>Others_Receipt05</vt:lpstr>
      <vt:lpstr>Others_Receipt06</vt:lpstr>
      <vt:lpstr>Others_Receipt07</vt:lpstr>
      <vt:lpstr>Others_Receipt08</vt:lpstr>
      <vt:lpstr>Others_Receipt09</vt:lpstr>
      <vt:lpstr>Others_Receipt10</vt:lpstr>
      <vt:lpstr>Others_Receipt11</vt:lpstr>
      <vt:lpstr>Others_To01</vt:lpstr>
      <vt:lpstr>Others_To02</vt:lpstr>
      <vt:lpstr>Others_To03</vt:lpstr>
      <vt:lpstr>Others_To04</vt:lpstr>
      <vt:lpstr>Others_To05</vt:lpstr>
      <vt:lpstr>Others_To06</vt:lpstr>
      <vt:lpstr>Others_To07</vt:lpstr>
      <vt:lpstr>Others_To08</vt:lpstr>
      <vt:lpstr>Others_To09</vt:lpstr>
      <vt:lpstr>Others_To10</vt:lpstr>
      <vt:lpstr>Others_To11</vt:lpstr>
      <vt:lpstr>PostalValidated</vt:lpstr>
      <vt:lpstr>'Travel Expense Summary'!Print_Area</vt:lpstr>
      <vt:lpstr>'Kilometer Matrix (Appendix F)'!Print_Titles</vt:lpstr>
      <vt:lpstr>ReceiptAreaMeals</vt:lpstr>
      <vt:lpstr>ReceiptEntryArea</vt:lpstr>
      <vt:lpstr>ReceiptHeaders</vt:lpstr>
      <vt:lpstr>SubmissionDateVal_End</vt:lpstr>
      <vt:lpstr>SubmissionDateVal_Start</vt:lpstr>
      <vt:lpstr>Table_OtherExps</vt:lpstr>
      <vt:lpstr>Total_Other</vt:lpstr>
      <vt:lpstr>TravelTextDescription</vt:lpstr>
      <vt:lpstr>TravelTextDescription_Display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2016-07-18T14:49:51Z</dcterms:modified>
</cp:coreProperties>
</file>